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240" windowWidth="24240" windowHeight="11970" activeTab="1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  <sheet name="Sheet11" sheetId="8" r:id="rId8"/>
  </sheets>
  <definedNames>
    <definedName name="_xlnm.Consolidate_Area" localSheetId="1">세출부!$1:$5</definedName>
  </definedNames>
  <calcPr calcId="145621"/>
</workbook>
</file>

<file path=xl/calcChain.xml><?xml version="1.0" encoding="utf-8"?>
<calcChain xmlns="http://schemas.openxmlformats.org/spreadsheetml/2006/main">
  <c r="G37" i="2" l="1"/>
  <c r="F38" i="2"/>
  <c r="F51" i="2"/>
  <c r="E16" i="1"/>
  <c r="E17" i="1"/>
  <c r="G9" i="1"/>
  <c r="D17" i="1"/>
  <c r="D16" i="1"/>
  <c r="F11" i="1" l="1"/>
  <c r="C31" i="6" l="1"/>
  <c r="G48" i="2"/>
  <c r="G9" i="7" l="1"/>
  <c r="G8" i="7"/>
  <c r="G10" i="7" s="1"/>
  <c r="D7" i="7"/>
  <c r="G6" i="7"/>
  <c r="G5" i="7"/>
  <c r="G4" i="7"/>
  <c r="G7" i="7" s="1"/>
  <c r="G11" i="7" s="1"/>
  <c r="C23" i="6"/>
  <c r="C8" i="6"/>
  <c r="H33" i="5"/>
  <c r="G33" i="5"/>
  <c r="F33" i="5"/>
  <c r="G32" i="5"/>
  <c r="F32" i="5"/>
  <c r="I31" i="5"/>
  <c r="H31" i="5"/>
  <c r="G31" i="5"/>
  <c r="K31" i="5" s="1"/>
  <c r="L31" i="5" s="1"/>
  <c r="F31" i="5"/>
  <c r="G30" i="5"/>
  <c r="F30" i="5"/>
  <c r="H29" i="5"/>
  <c r="G29" i="5"/>
  <c r="F29" i="5"/>
  <c r="G28" i="5"/>
  <c r="F28" i="5"/>
  <c r="G27" i="5"/>
  <c r="F27" i="5"/>
  <c r="G26" i="5"/>
  <c r="F26" i="5"/>
  <c r="G25" i="5"/>
  <c r="F25" i="5"/>
  <c r="G24" i="5"/>
  <c r="F24" i="5"/>
  <c r="I23" i="5"/>
  <c r="H23" i="5"/>
  <c r="G23" i="5"/>
  <c r="K23" i="5" s="1"/>
  <c r="L23" i="5" s="1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I16" i="5"/>
  <c r="H16" i="5"/>
  <c r="G16" i="5"/>
  <c r="K16" i="5" s="1"/>
  <c r="L16" i="5" s="1"/>
  <c r="F16" i="5"/>
  <c r="G15" i="5"/>
  <c r="F15" i="5"/>
  <c r="G14" i="5"/>
  <c r="F14" i="5"/>
  <c r="I13" i="5"/>
  <c r="H13" i="5"/>
  <c r="G13" i="5"/>
  <c r="K13" i="5" s="1"/>
  <c r="L13" i="5" s="1"/>
  <c r="F13" i="5"/>
  <c r="I12" i="5"/>
  <c r="H12" i="5"/>
  <c r="G12" i="5"/>
  <c r="K12" i="5" s="1"/>
  <c r="L12" i="5" s="1"/>
  <c r="F12" i="5"/>
  <c r="G11" i="5"/>
  <c r="F11" i="5"/>
  <c r="G10" i="5"/>
  <c r="F10" i="5"/>
  <c r="G9" i="5"/>
  <c r="F9" i="5"/>
  <c r="H8" i="5"/>
  <c r="G8" i="5"/>
  <c r="F8" i="5"/>
  <c r="H7" i="5"/>
  <c r="G7" i="5"/>
  <c r="F7" i="5"/>
  <c r="H6" i="5"/>
  <c r="G6" i="5"/>
  <c r="F6" i="5"/>
  <c r="H5" i="5"/>
  <c r="G5" i="5"/>
  <c r="G4" i="5" s="1"/>
  <c r="F5" i="5"/>
  <c r="J4" i="5"/>
  <c r="H4" i="5"/>
  <c r="F4" i="5"/>
  <c r="E4" i="5"/>
  <c r="M37" i="4"/>
  <c r="R36" i="4"/>
  <c r="Q36" i="4"/>
  <c r="P36" i="4"/>
  <c r="O36" i="4"/>
  <c r="M36" i="4"/>
  <c r="I35" i="4"/>
  <c r="F35" i="4"/>
  <c r="E35" i="4"/>
  <c r="F34" i="4"/>
  <c r="E34" i="4"/>
  <c r="I33" i="4"/>
  <c r="F33" i="4"/>
  <c r="E33" i="4"/>
  <c r="F32" i="4"/>
  <c r="K32" i="4" s="1"/>
  <c r="E32" i="4"/>
  <c r="H32" i="4" s="1"/>
  <c r="I31" i="4"/>
  <c r="F31" i="4"/>
  <c r="E31" i="4"/>
  <c r="F30" i="4"/>
  <c r="E30" i="4"/>
  <c r="F29" i="4"/>
  <c r="E29" i="4"/>
  <c r="F28" i="4"/>
  <c r="E28" i="4"/>
  <c r="F27" i="4"/>
  <c r="E27" i="4"/>
  <c r="F26" i="4"/>
  <c r="E26" i="4"/>
  <c r="I25" i="4"/>
  <c r="F25" i="4"/>
  <c r="E25" i="4"/>
  <c r="F24" i="4"/>
  <c r="K24" i="4" s="1"/>
  <c r="E24" i="4"/>
  <c r="H24" i="4" s="1"/>
  <c r="F23" i="4"/>
  <c r="E23" i="4"/>
  <c r="H23" i="4" s="1"/>
  <c r="K23" i="4" s="1"/>
  <c r="F22" i="4"/>
  <c r="K22" i="4" s="1"/>
  <c r="E22" i="4"/>
  <c r="H22" i="4" s="1"/>
  <c r="F21" i="4"/>
  <c r="E21" i="4"/>
  <c r="H21" i="4" s="1"/>
  <c r="K21" i="4" s="1"/>
  <c r="F20" i="4"/>
  <c r="K20" i="4" s="1"/>
  <c r="E20" i="4"/>
  <c r="H20" i="4" s="1"/>
  <c r="F19" i="4"/>
  <c r="E19" i="4"/>
  <c r="H19" i="4" s="1"/>
  <c r="K19" i="4" s="1"/>
  <c r="I18" i="4"/>
  <c r="F18" i="4"/>
  <c r="E18" i="4"/>
  <c r="F17" i="4"/>
  <c r="E17" i="4"/>
  <c r="F16" i="4"/>
  <c r="E16" i="4"/>
  <c r="I15" i="4"/>
  <c r="I6" i="4" s="1"/>
  <c r="F15" i="4"/>
  <c r="E15" i="4"/>
  <c r="I14" i="4"/>
  <c r="F14" i="4"/>
  <c r="E14" i="4"/>
  <c r="F13" i="4"/>
  <c r="E13" i="4"/>
  <c r="F12" i="4"/>
  <c r="E12" i="4"/>
  <c r="F11" i="4"/>
  <c r="E11" i="4"/>
  <c r="I10" i="4"/>
  <c r="F10" i="4"/>
  <c r="E10" i="4"/>
  <c r="I9" i="4"/>
  <c r="F9" i="4"/>
  <c r="E9" i="4"/>
  <c r="E6" i="4" s="1"/>
  <c r="I8" i="4"/>
  <c r="F8" i="4"/>
  <c r="E8" i="4"/>
  <c r="I7" i="4"/>
  <c r="F7" i="4"/>
  <c r="K7" i="4" s="1"/>
  <c r="E7" i="4"/>
  <c r="J6" i="4"/>
  <c r="G6" i="4"/>
  <c r="F6" i="4"/>
  <c r="D6" i="4"/>
  <c r="L34" i="3"/>
  <c r="I34" i="3"/>
  <c r="F34" i="3"/>
  <c r="E34" i="3"/>
  <c r="Q33" i="3"/>
  <c r="O33" i="3"/>
  <c r="M33" i="3"/>
  <c r="N33" i="3" s="1"/>
  <c r="L33" i="3"/>
  <c r="P33" i="3" s="1"/>
  <c r="F33" i="3"/>
  <c r="K33" i="3" s="1"/>
  <c r="R33" i="3" s="1"/>
  <c r="E33" i="3"/>
  <c r="H33" i="3" s="1"/>
  <c r="Q32" i="3"/>
  <c r="O32" i="3"/>
  <c r="M32" i="3"/>
  <c r="N32" i="3" s="1"/>
  <c r="L32" i="3"/>
  <c r="P32" i="3" s="1"/>
  <c r="I32" i="3"/>
  <c r="F32" i="3"/>
  <c r="E32" i="3"/>
  <c r="F31" i="3"/>
  <c r="E31" i="3"/>
  <c r="L30" i="3"/>
  <c r="I30" i="3"/>
  <c r="F30" i="3"/>
  <c r="E30" i="3"/>
  <c r="Q29" i="3"/>
  <c r="O29" i="3"/>
  <c r="M29" i="3"/>
  <c r="N29" i="3" s="1"/>
  <c r="L29" i="3"/>
  <c r="P29" i="3" s="1"/>
  <c r="F29" i="3"/>
  <c r="K29" i="3" s="1"/>
  <c r="R29" i="3" s="1"/>
  <c r="E29" i="3"/>
  <c r="H29" i="3" s="1"/>
  <c r="S28" i="3"/>
  <c r="T28" i="3" s="1"/>
  <c r="Q28" i="3"/>
  <c r="O28" i="3"/>
  <c r="M28" i="3"/>
  <c r="N28" i="3" s="1"/>
  <c r="L28" i="3"/>
  <c r="P28" i="3" s="1"/>
  <c r="F28" i="3"/>
  <c r="K28" i="3" s="1"/>
  <c r="R28" i="3" s="1"/>
  <c r="E28" i="3"/>
  <c r="H28" i="3" s="1"/>
  <c r="Q27" i="3"/>
  <c r="O27" i="3"/>
  <c r="M27" i="3"/>
  <c r="N27" i="3" s="1"/>
  <c r="L27" i="3"/>
  <c r="P27" i="3" s="1"/>
  <c r="F27" i="3"/>
  <c r="E27" i="3"/>
  <c r="H27" i="3" s="1"/>
  <c r="K27" i="3" s="1"/>
  <c r="R27" i="3" s="1"/>
  <c r="S26" i="3"/>
  <c r="T26" i="3" s="1"/>
  <c r="Q26" i="3"/>
  <c r="O26" i="3"/>
  <c r="M26" i="3"/>
  <c r="N26" i="3" s="1"/>
  <c r="L26" i="3"/>
  <c r="P26" i="3" s="1"/>
  <c r="F26" i="3"/>
  <c r="K26" i="3" s="1"/>
  <c r="R26" i="3" s="1"/>
  <c r="E26" i="3"/>
  <c r="H26" i="3" s="1"/>
  <c r="Q25" i="3"/>
  <c r="O25" i="3"/>
  <c r="M25" i="3"/>
  <c r="N25" i="3" s="1"/>
  <c r="L25" i="3"/>
  <c r="P25" i="3" s="1"/>
  <c r="F25" i="3"/>
  <c r="E25" i="3"/>
  <c r="H25" i="3" s="1"/>
  <c r="K25" i="3" s="1"/>
  <c r="R25" i="3" s="1"/>
  <c r="S24" i="3"/>
  <c r="T24" i="3" s="1"/>
  <c r="Q24" i="3"/>
  <c r="O24" i="3"/>
  <c r="M24" i="3"/>
  <c r="N24" i="3" s="1"/>
  <c r="L24" i="3"/>
  <c r="P24" i="3" s="1"/>
  <c r="I24" i="3"/>
  <c r="F24" i="3"/>
  <c r="E24" i="3"/>
  <c r="L23" i="3"/>
  <c r="F23" i="3"/>
  <c r="E23" i="3"/>
  <c r="L22" i="3"/>
  <c r="F22" i="3"/>
  <c r="E22" i="3"/>
  <c r="L21" i="3"/>
  <c r="F21" i="3"/>
  <c r="E21" i="3"/>
  <c r="L20" i="3"/>
  <c r="F20" i="3"/>
  <c r="E20" i="3"/>
  <c r="L19" i="3"/>
  <c r="F19" i="3"/>
  <c r="E19" i="3"/>
  <c r="L18" i="3"/>
  <c r="F18" i="3"/>
  <c r="E18" i="3"/>
  <c r="L17" i="3"/>
  <c r="I17" i="3"/>
  <c r="F17" i="3"/>
  <c r="E17" i="3"/>
  <c r="Q16" i="3"/>
  <c r="O16" i="3"/>
  <c r="M16" i="3"/>
  <c r="N16" i="3" s="1"/>
  <c r="L16" i="3"/>
  <c r="P16" i="3" s="1"/>
  <c r="F16" i="3"/>
  <c r="E16" i="3"/>
  <c r="H16" i="3" s="1"/>
  <c r="K16" i="3" s="1"/>
  <c r="R16" i="3" s="1"/>
  <c r="S15" i="3"/>
  <c r="T15" i="3" s="1"/>
  <c r="Q15" i="3"/>
  <c r="O15" i="3"/>
  <c r="M15" i="3"/>
  <c r="N15" i="3" s="1"/>
  <c r="L15" i="3"/>
  <c r="P15" i="3" s="1"/>
  <c r="F15" i="3"/>
  <c r="K15" i="3" s="1"/>
  <c r="R15" i="3" s="1"/>
  <c r="E15" i="3"/>
  <c r="H15" i="3" s="1"/>
  <c r="Q14" i="3"/>
  <c r="O14" i="3"/>
  <c r="M14" i="3"/>
  <c r="N14" i="3" s="1"/>
  <c r="L14" i="3"/>
  <c r="P14" i="3" s="1"/>
  <c r="I14" i="3"/>
  <c r="F14" i="3"/>
  <c r="E14" i="3"/>
  <c r="L13" i="3"/>
  <c r="I13" i="3"/>
  <c r="F13" i="3"/>
  <c r="E13" i="3"/>
  <c r="S12" i="3"/>
  <c r="T12" i="3" s="1"/>
  <c r="Q12" i="3"/>
  <c r="O12" i="3"/>
  <c r="M12" i="3"/>
  <c r="N12" i="3" s="1"/>
  <c r="L12" i="3"/>
  <c r="P12" i="3" s="1"/>
  <c r="F12" i="3"/>
  <c r="K12" i="3" s="1"/>
  <c r="R12" i="3" s="1"/>
  <c r="E12" i="3"/>
  <c r="H12" i="3" s="1"/>
  <c r="Q11" i="3"/>
  <c r="O11" i="3"/>
  <c r="M11" i="3"/>
  <c r="N11" i="3" s="1"/>
  <c r="L11" i="3"/>
  <c r="P11" i="3" s="1"/>
  <c r="F11" i="3"/>
  <c r="E11" i="3"/>
  <c r="H11" i="3" s="1"/>
  <c r="K11" i="3" s="1"/>
  <c r="R11" i="3" s="1"/>
  <c r="S10" i="3"/>
  <c r="T10" i="3" s="1"/>
  <c r="Q10" i="3"/>
  <c r="O10" i="3"/>
  <c r="M10" i="3"/>
  <c r="N10" i="3" s="1"/>
  <c r="L10" i="3"/>
  <c r="P10" i="3" s="1"/>
  <c r="F10" i="3"/>
  <c r="K10" i="3" s="1"/>
  <c r="R10" i="3" s="1"/>
  <c r="E10" i="3"/>
  <c r="H10" i="3" s="1"/>
  <c r="Q9" i="3"/>
  <c r="O9" i="3"/>
  <c r="M9" i="3"/>
  <c r="N9" i="3" s="1"/>
  <c r="L9" i="3"/>
  <c r="P9" i="3" s="1"/>
  <c r="I9" i="3"/>
  <c r="F9" i="3"/>
  <c r="E9" i="3"/>
  <c r="L8" i="3"/>
  <c r="I8" i="3"/>
  <c r="F8" i="3"/>
  <c r="E8" i="3"/>
  <c r="S7" i="3"/>
  <c r="T7" i="3" s="1"/>
  <c r="Q7" i="3"/>
  <c r="O7" i="3"/>
  <c r="M7" i="3"/>
  <c r="N7" i="3" s="1"/>
  <c r="L7" i="3"/>
  <c r="P7" i="3" s="1"/>
  <c r="I7" i="3"/>
  <c r="F7" i="3"/>
  <c r="E7" i="3"/>
  <c r="L6" i="3"/>
  <c r="I6" i="3"/>
  <c r="F6" i="3"/>
  <c r="E6" i="3"/>
  <c r="L5" i="3"/>
  <c r="J5" i="3"/>
  <c r="G5" i="3"/>
  <c r="F5" i="3"/>
  <c r="D5" i="3"/>
  <c r="E57" i="2"/>
  <c r="D57" i="2"/>
  <c r="D56" i="2" s="1"/>
  <c r="E56" i="2"/>
  <c r="E54" i="2"/>
  <c r="D54" i="2"/>
  <c r="D53" i="2" s="1"/>
  <c r="E53" i="2"/>
  <c r="E44" i="2"/>
  <c r="F44" i="2" s="1"/>
  <c r="D44" i="2"/>
  <c r="G39" i="2"/>
  <c r="E36" i="2"/>
  <c r="G36" i="2" s="1"/>
  <c r="D36" i="2"/>
  <c r="E30" i="2"/>
  <c r="D30" i="2"/>
  <c r="E25" i="2"/>
  <c r="D25" i="2"/>
  <c r="E24" i="2"/>
  <c r="D24" i="2"/>
  <c r="E17" i="2"/>
  <c r="D17" i="2"/>
  <c r="E14" i="2"/>
  <c r="D14" i="2"/>
  <c r="E8" i="2"/>
  <c r="D8" i="2"/>
  <c r="D7" i="2" s="1"/>
  <c r="E24" i="1"/>
  <c r="D24" i="1"/>
  <c r="E23" i="1"/>
  <c r="D23" i="1"/>
  <c r="E21" i="1"/>
  <c r="D21" i="1"/>
  <c r="E20" i="1"/>
  <c r="D20" i="1"/>
  <c r="E13" i="1"/>
  <c r="D13" i="1"/>
  <c r="E12" i="1"/>
  <c r="E6" i="1" s="1"/>
  <c r="D12" i="1"/>
  <c r="E8" i="1"/>
  <c r="D8" i="1"/>
  <c r="D7" i="1" s="1"/>
  <c r="E29" i="2" l="1"/>
  <c r="F29" i="2" s="1"/>
  <c r="E7" i="2"/>
  <c r="C24" i="6"/>
  <c r="D29" i="2"/>
  <c r="D6" i="2" s="1"/>
  <c r="K14" i="3"/>
  <c r="R14" i="3" s="1"/>
  <c r="R7" i="4"/>
  <c r="L7" i="4"/>
  <c r="Q6" i="3"/>
  <c r="Q5" i="3" s="1"/>
  <c r="O6" i="3"/>
  <c r="O5" i="3" s="1"/>
  <c r="M6" i="3"/>
  <c r="P6" i="3"/>
  <c r="P5" i="3" s="1"/>
  <c r="H9" i="3"/>
  <c r="K9" i="3" s="1"/>
  <c r="R9" i="3" s="1"/>
  <c r="H14" i="3"/>
  <c r="Q17" i="3"/>
  <c r="O17" i="3"/>
  <c r="M17" i="3"/>
  <c r="P17" i="3"/>
  <c r="Q18" i="3"/>
  <c r="O18" i="3"/>
  <c r="M18" i="3"/>
  <c r="P18" i="3"/>
  <c r="Q19" i="3"/>
  <c r="O19" i="3"/>
  <c r="M19" i="3"/>
  <c r="P19" i="3"/>
  <c r="Q20" i="3"/>
  <c r="O20" i="3"/>
  <c r="M20" i="3"/>
  <c r="P20" i="3"/>
  <c r="Q21" i="3"/>
  <c r="O21" i="3"/>
  <c r="M21" i="3"/>
  <c r="P21" i="3"/>
  <c r="Q22" i="3"/>
  <c r="O22" i="3"/>
  <c r="M22" i="3"/>
  <c r="P22" i="3"/>
  <c r="Q23" i="3"/>
  <c r="O23" i="3"/>
  <c r="M23" i="3"/>
  <c r="P23" i="3"/>
  <c r="Q30" i="3"/>
  <c r="O30" i="3"/>
  <c r="M30" i="3"/>
  <c r="P30" i="3"/>
  <c r="H32" i="3"/>
  <c r="K32" i="3" s="1"/>
  <c r="R32" i="3" s="1"/>
  <c r="S33" i="3"/>
  <c r="H13" i="4"/>
  <c r="K13" i="4" s="1"/>
  <c r="R19" i="4"/>
  <c r="L19" i="4"/>
  <c r="R21" i="4"/>
  <c r="L21" i="4"/>
  <c r="R23" i="4"/>
  <c r="L23" i="4"/>
  <c r="F8" i="1"/>
  <c r="E7" i="1"/>
  <c r="D6" i="1"/>
  <c r="K6" i="3"/>
  <c r="E5" i="3"/>
  <c r="I5" i="3"/>
  <c r="H7" i="3"/>
  <c r="U7" i="3"/>
  <c r="Q8" i="3"/>
  <c r="O8" i="3"/>
  <c r="M8" i="3"/>
  <c r="P8" i="3"/>
  <c r="S9" i="3"/>
  <c r="U10" i="3"/>
  <c r="S11" i="3"/>
  <c r="U12" i="3"/>
  <c r="Q13" i="3"/>
  <c r="O13" i="3"/>
  <c r="M13" i="3"/>
  <c r="P13" i="3"/>
  <c r="S14" i="3"/>
  <c r="U15" i="3"/>
  <c r="S16" i="3"/>
  <c r="H18" i="3"/>
  <c r="K18" i="3" s="1"/>
  <c r="R18" i="3" s="1"/>
  <c r="H19" i="3"/>
  <c r="K19" i="3" s="1"/>
  <c r="R19" i="3" s="1"/>
  <c r="H20" i="3"/>
  <c r="K20" i="3" s="1"/>
  <c r="R20" i="3" s="1"/>
  <c r="H21" i="3"/>
  <c r="K21" i="3" s="1"/>
  <c r="R21" i="3" s="1"/>
  <c r="H22" i="3"/>
  <c r="K22" i="3" s="1"/>
  <c r="R22" i="3" s="1"/>
  <c r="H23" i="3"/>
  <c r="K23" i="3" s="1"/>
  <c r="R23" i="3" s="1"/>
  <c r="H24" i="3"/>
  <c r="K24" i="3" s="1"/>
  <c r="R24" i="3" s="1"/>
  <c r="U24" i="3"/>
  <c r="S25" i="3"/>
  <c r="U26" i="3"/>
  <c r="S27" i="3"/>
  <c r="U28" i="3"/>
  <c r="S29" i="3"/>
  <c r="K30" i="3"/>
  <c r="R30" i="3" s="1"/>
  <c r="H31" i="3"/>
  <c r="K31" i="3" s="1"/>
  <c r="S32" i="3"/>
  <c r="Q34" i="3"/>
  <c r="O34" i="3"/>
  <c r="M34" i="3"/>
  <c r="P34" i="3"/>
  <c r="H9" i="4"/>
  <c r="K9" i="4" s="1"/>
  <c r="K11" i="4"/>
  <c r="H11" i="4"/>
  <c r="K14" i="4"/>
  <c r="R20" i="4"/>
  <c r="L20" i="4"/>
  <c r="R22" i="4"/>
  <c r="L22" i="4"/>
  <c r="R24" i="4"/>
  <c r="L24" i="4"/>
  <c r="K31" i="4"/>
  <c r="R32" i="4"/>
  <c r="L32" i="4"/>
  <c r="K17" i="4"/>
  <c r="H17" i="4"/>
  <c r="K25" i="4"/>
  <c r="H27" i="4"/>
  <c r="K27" i="4" s="1"/>
  <c r="H29" i="4"/>
  <c r="K29" i="4" s="1"/>
  <c r="H31" i="4"/>
  <c r="M31" i="5"/>
  <c r="N31" i="5"/>
  <c r="H8" i="3"/>
  <c r="K8" i="3" s="1"/>
  <c r="R8" i="3" s="1"/>
  <c r="H13" i="3"/>
  <c r="K13" i="3" s="1"/>
  <c r="R13" i="3" s="1"/>
  <c r="H17" i="3"/>
  <c r="K17" i="3" s="1"/>
  <c r="R17" i="3" s="1"/>
  <c r="H30" i="3"/>
  <c r="H34" i="3"/>
  <c r="K34" i="3" s="1"/>
  <c r="R34" i="3" s="1"/>
  <c r="K10" i="4"/>
  <c r="H12" i="4"/>
  <c r="K12" i="4" s="1"/>
  <c r="H14" i="4"/>
  <c r="K16" i="4"/>
  <c r="H16" i="4"/>
  <c r="H18" i="4"/>
  <c r="K18" i="4" s="1"/>
  <c r="H26" i="4"/>
  <c r="K26" i="4" s="1"/>
  <c r="H28" i="4"/>
  <c r="K28" i="4" s="1"/>
  <c r="H30" i="4"/>
  <c r="K30" i="4" s="1"/>
  <c r="H34" i="4"/>
  <c r="K34" i="4" s="1"/>
  <c r="H8" i="4"/>
  <c r="K8" i="4" s="1"/>
  <c r="H10" i="4"/>
  <c r="H15" i="4"/>
  <c r="K15" i="4" s="1"/>
  <c r="H25" i="4"/>
  <c r="H33" i="4"/>
  <c r="K33" i="4" s="1"/>
  <c r="H35" i="4"/>
  <c r="K35" i="4" s="1"/>
  <c r="K9" i="5"/>
  <c r="L9" i="5" s="1"/>
  <c r="M12" i="5"/>
  <c r="N12" i="5"/>
  <c r="M13" i="5"/>
  <c r="N13" i="5"/>
  <c r="K15" i="5"/>
  <c r="L15" i="5" s="1"/>
  <c r="M16" i="5"/>
  <c r="N16" i="5"/>
  <c r="K20" i="5"/>
  <c r="L20" i="5" s="1"/>
  <c r="M23" i="5"/>
  <c r="N23" i="5"/>
  <c r="K25" i="5"/>
  <c r="L25" i="5" s="1"/>
  <c r="K5" i="5"/>
  <c r="L5" i="5" s="1"/>
  <c r="I9" i="5"/>
  <c r="I11" i="5"/>
  <c r="K11" i="5" s="1"/>
  <c r="L11" i="5" s="1"/>
  <c r="I15" i="5"/>
  <c r="I18" i="5"/>
  <c r="K18" i="5" s="1"/>
  <c r="L18" i="5" s="1"/>
  <c r="I20" i="5"/>
  <c r="I22" i="5"/>
  <c r="K22" i="5" s="1"/>
  <c r="L22" i="5" s="1"/>
  <c r="I25" i="5"/>
  <c r="I27" i="5"/>
  <c r="K27" i="5" s="1"/>
  <c r="L27" i="5" s="1"/>
  <c r="I30" i="5"/>
  <c r="K30" i="5" s="1"/>
  <c r="L30" i="5" s="1"/>
  <c r="I6" i="5"/>
  <c r="I7" i="5"/>
  <c r="K7" i="5" s="1"/>
  <c r="L7" i="5" s="1"/>
  <c r="I8" i="5"/>
  <c r="K8" i="5" s="1"/>
  <c r="L8" i="5" s="1"/>
  <c r="I10" i="5"/>
  <c r="K10" i="5" s="1"/>
  <c r="L10" i="5" s="1"/>
  <c r="I14" i="5"/>
  <c r="K14" i="5" s="1"/>
  <c r="L14" i="5" s="1"/>
  <c r="I17" i="5"/>
  <c r="K17" i="5" s="1"/>
  <c r="L17" i="5" s="1"/>
  <c r="I19" i="5"/>
  <c r="K19" i="5" s="1"/>
  <c r="L19" i="5" s="1"/>
  <c r="I21" i="5"/>
  <c r="K21" i="5" s="1"/>
  <c r="L21" i="5" s="1"/>
  <c r="I24" i="5"/>
  <c r="K24" i="5" s="1"/>
  <c r="L24" i="5" s="1"/>
  <c r="I26" i="5"/>
  <c r="K26" i="5" s="1"/>
  <c r="L26" i="5" s="1"/>
  <c r="I28" i="5"/>
  <c r="K28" i="5" s="1"/>
  <c r="L28" i="5" s="1"/>
  <c r="I29" i="5"/>
  <c r="K29" i="5" s="1"/>
  <c r="L29" i="5" s="1"/>
  <c r="I32" i="5"/>
  <c r="K32" i="5" s="1"/>
  <c r="L32" i="5" s="1"/>
  <c r="I33" i="5"/>
  <c r="K33" i="5" s="1"/>
  <c r="L33" i="5" s="1"/>
  <c r="E6" i="2" l="1"/>
  <c r="M32" i="5"/>
  <c r="N32" i="5" s="1"/>
  <c r="M24" i="5"/>
  <c r="N24" i="5" s="1"/>
  <c r="M8" i="5"/>
  <c r="N8" i="5" s="1"/>
  <c r="M27" i="5"/>
  <c r="N27" i="5"/>
  <c r="M22" i="5"/>
  <c r="N22" i="5" s="1"/>
  <c r="M18" i="5"/>
  <c r="N18" i="5" s="1"/>
  <c r="M11" i="5"/>
  <c r="N11" i="5" s="1"/>
  <c r="N5" i="5"/>
  <c r="M5" i="5"/>
  <c r="M20" i="5"/>
  <c r="N20" i="5"/>
  <c r="M9" i="5"/>
  <c r="N9" i="5" s="1"/>
  <c r="L33" i="4"/>
  <c r="R33" i="4"/>
  <c r="L15" i="4"/>
  <c r="R15" i="4"/>
  <c r="R8" i="4"/>
  <c r="L8" i="4"/>
  <c r="K6" i="4"/>
  <c r="R30" i="4"/>
  <c r="L30" i="4"/>
  <c r="R26" i="4"/>
  <c r="L26" i="4"/>
  <c r="L27" i="4"/>
  <c r="R27" i="4"/>
  <c r="R9" i="4"/>
  <c r="L9" i="4"/>
  <c r="L13" i="4"/>
  <c r="R13" i="4"/>
  <c r="M28" i="5"/>
  <c r="N28" i="5" s="1"/>
  <c r="M19" i="5"/>
  <c r="N19" i="5" s="1"/>
  <c r="M14" i="5"/>
  <c r="N14" i="5" s="1"/>
  <c r="M33" i="5"/>
  <c r="N33" i="5" s="1"/>
  <c r="M29" i="5"/>
  <c r="N29" i="5" s="1"/>
  <c r="M26" i="5"/>
  <c r="N26" i="5" s="1"/>
  <c r="M21" i="5"/>
  <c r="N21" i="5" s="1"/>
  <c r="M17" i="5"/>
  <c r="N17" i="5" s="1"/>
  <c r="M10" i="5"/>
  <c r="N10" i="5" s="1"/>
  <c r="M7" i="5"/>
  <c r="N7" i="5" s="1"/>
  <c r="M30" i="5"/>
  <c r="N30" i="5"/>
  <c r="M25" i="5"/>
  <c r="N25" i="5"/>
  <c r="M15" i="5"/>
  <c r="N15" i="5"/>
  <c r="R35" i="4"/>
  <c r="L35" i="4"/>
  <c r="R34" i="4"/>
  <c r="L34" i="4"/>
  <c r="R28" i="4"/>
  <c r="L28" i="4"/>
  <c r="R18" i="4"/>
  <c r="L18" i="4"/>
  <c r="R12" i="4"/>
  <c r="L12" i="4"/>
  <c r="L29" i="4"/>
  <c r="R29" i="4"/>
  <c r="I4" i="5"/>
  <c r="K6" i="5"/>
  <c r="L6" i="5" s="1"/>
  <c r="P24" i="4"/>
  <c r="O24" i="4"/>
  <c r="Q24" i="4"/>
  <c r="M24" i="4"/>
  <c r="P22" i="4"/>
  <c r="O22" i="4"/>
  <c r="Q22" i="4"/>
  <c r="M22" i="4"/>
  <c r="P20" i="4"/>
  <c r="O20" i="4"/>
  <c r="Q20" i="4"/>
  <c r="M20" i="4"/>
  <c r="T32" i="3"/>
  <c r="U32" i="3"/>
  <c r="T29" i="3"/>
  <c r="U29" i="3"/>
  <c r="T27" i="3"/>
  <c r="U27" i="3"/>
  <c r="T25" i="3"/>
  <c r="U25" i="3"/>
  <c r="T16" i="3"/>
  <c r="U16" i="3"/>
  <c r="T14" i="3"/>
  <c r="U14" i="3"/>
  <c r="S13" i="3"/>
  <c r="N13" i="3"/>
  <c r="T11" i="3"/>
  <c r="U11" i="3"/>
  <c r="T9" i="3"/>
  <c r="U9" i="3"/>
  <c r="S8" i="3"/>
  <c r="N8" i="3"/>
  <c r="H5" i="3"/>
  <c r="F6" i="2"/>
  <c r="T33" i="3"/>
  <c r="U33" i="3"/>
  <c r="K4" i="5"/>
  <c r="H6" i="4"/>
  <c r="R16" i="4"/>
  <c r="L16" i="4"/>
  <c r="R10" i="4"/>
  <c r="R6" i="4" s="1"/>
  <c r="L10" i="4"/>
  <c r="L25" i="4"/>
  <c r="R25" i="4"/>
  <c r="L17" i="4"/>
  <c r="R17" i="4"/>
  <c r="P32" i="4"/>
  <c r="O32" i="4"/>
  <c r="Q32" i="4"/>
  <c r="M32" i="4"/>
  <c r="R31" i="4"/>
  <c r="L31" i="4"/>
  <c r="R14" i="4"/>
  <c r="L14" i="4"/>
  <c r="L11" i="4"/>
  <c r="R11" i="4"/>
  <c r="S34" i="3"/>
  <c r="N34" i="3"/>
  <c r="R6" i="3"/>
  <c r="F7" i="1"/>
  <c r="F6" i="1"/>
  <c r="P23" i="4"/>
  <c r="Q23" i="4"/>
  <c r="M23" i="4"/>
  <c r="O23" i="4"/>
  <c r="P21" i="4"/>
  <c r="Q21" i="4"/>
  <c r="M21" i="4"/>
  <c r="O21" i="4"/>
  <c r="P19" i="4"/>
  <c r="Q19" i="4"/>
  <c r="M19" i="4"/>
  <c r="O19" i="4"/>
  <c r="S30" i="3"/>
  <c r="N30" i="3"/>
  <c r="S23" i="3"/>
  <c r="N23" i="3"/>
  <c r="S22" i="3"/>
  <c r="N22" i="3"/>
  <c r="S21" i="3"/>
  <c r="N21" i="3"/>
  <c r="S20" i="3"/>
  <c r="N20" i="3"/>
  <c r="S19" i="3"/>
  <c r="N19" i="3"/>
  <c r="S18" i="3"/>
  <c r="N18" i="3"/>
  <c r="S17" i="3"/>
  <c r="N17" i="3"/>
  <c r="S6" i="3"/>
  <c r="M5" i="3"/>
  <c r="N6" i="3"/>
  <c r="N5" i="3" s="1"/>
  <c r="K7" i="3"/>
  <c r="R7" i="3" s="1"/>
  <c r="P7" i="4"/>
  <c r="Q7" i="4"/>
  <c r="M7" i="4"/>
  <c r="L6" i="4"/>
  <c r="O7" i="4"/>
  <c r="R5" i="3" l="1"/>
  <c r="P14" i="4"/>
  <c r="O14" i="4"/>
  <c r="Q14" i="4"/>
  <c r="M14" i="4"/>
  <c r="P31" i="4"/>
  <c r="Q31" i="4"/>
  <c r="M31" i="4"/>
  <c r="O31" i="4"/>
  <c r="N32" i="4"/>
  <c r="S32" i="4" s="1"/>
  <c r="Q10" i="4"/>
  <c r="O10" i="4"/>
  <c r="M10" i="4"/>
  <c r="P10" i="4"/>
  <c r="Q16" i="4"/>
  <c r="O16" i="4"/>
  <c r="M16" i="4"/>
  <c r="P16" i="4"/>
  <c r="N20" i="4"/>
  <c r="S20" i="4" s="1"/>
  <c r="N22" i="4"/>
  <c r="S22" i="4" s="1"/>
  <c r="N24" i="4"/>
  <c r="S24" i="4" s="1"/>
  <c r="N6" i="5"/>
  <c r="M6" i="5"/>
  <c r="Q12" i="4"/>
  <c r="O12" i="4"/>
  <c r="M12" i="4"/>
  <c r="P12" i="4"/>
  <c r="P18" i="4"/>
  <c r="O18" i="4"/>
  <c r="Q18" i="4"/>
  <c r="M18" i="4"/>
  <c r="Q28" i="4"/>
  <c r="O28" i="4"/>
  <c r="M28" i="4"/>
  <c r="P28" i="4"/>
  <c r="Q34" i="4"/>
  <c r="O34" i="4"/>
  <c r="P34" i="4"/>
  <c r="M34" i="4"/>
  <c r="P35" i="4"/>
  <c r="O35" i="4"/>
  <c r="Q35" i="4"/>
  <c r="M35" i="4"/>
  <c r="P9" i="4"/>
  <c r="Q9" i="4"/>
  <c r="M9" i="4"/>
  <c r="O9" i="4"/>
  <c r="Q26" i="4"/>
  <c r="O26" i="4"/>
  <c r="M26" i="4"/>
  <c r="P26" i="4"/>
  <c r="Q30" i="4"/>
  <c r="O30" i="4"/>
  <c r="M30" i="4"/>
  <c r="P30" i="4"/>
  <c r="Q15" i="4"/>
  <c r="O15" i="4"/>
  <c r="M15" i="4"/>
  <c r="P15" i="4"/>
  <c r="Q33" i="4"/>
  <c r="O33" i="4"/>
  <c r="M33" i="4"/>
  <c r="P33" i="4"/>
  <c r="M4" i="5"/>
  <c r="N7" i="4"/>
  <c r="S7" i="4"/>
  <c r="U6" i="3"/>
  <c r="U5" i="3" s="1"/>
  <c r="S5" i="3"/>
  <c r="T6" i="3"/>
  <c r="T5" i="3" s="1"/>
  <c r="U17" i="3"/>
  <c r="T17" i="3"/>
  <c r="U18" i="3"/>
  <c r="T18" i="3"/>
  <c r="U19" i="3"/>
  <c r="T19" i="3"/>
  <c r="U20" i="3"/>
  <c r="T20" i="3"/>
  <c r="U21" i="3"/>
  <c r="T21" i="3"/>
  <c r="U22" i="3"/>
  <c r="T22" i="3"/>
  <c r="U23" i="3"/>
  <c r="T23" i="3"/>
  <c r="U30" i="3"/>
  <c r="T30" i="3"/>
  <c r="N19" i="4"/>
  <c r="S19" i="4"/>
  <c r="N21" i="4"/>
  <c r="S21" i="4"/>
  <c r="N23" i="4"/>
  <c r="S23" i="4"/>
  <c r="K5" i="3"/>
  <c r="U34" i="3"/>
  <c r="T34" i="3"/>
  <c r="Q11" i="4"/>
  <c r="O11" i="4"/>
  <c r="M11" i="4"/>
  <c r="P11" i="4"/>
  <c r="Q17" i="4"/>
  <c r="O17" i="4"/>
  <c r="M17" i="4"/>
  <c r="P17" i="4"/>
  <c r="Q25" i="4"/>
  <c r="O25" i="4"/>
  <c r="M25" i="4"/>
  <c r="P25" i="4"/>
  <c r="U8" i="3"/>
  <c r="T8" i="3"/>
  <c r="U13" i="3"/>
  <c r="T13" i="3"/>
  <c r="Q29" i="4"/>
  <c r="O29" i="4"/>
  <c r="M29" i="4"/>
  <c r="P29" i="4"/>
  <c r="Q13" i="4"/>
  <c r="O13" i="4"/>
  <c r="M13" i="4"/>
  <c r="P13" i="4"/>
  <c r="Q27" i="4"/>
  <c r="O27" i="4"/>
  <c r="M27" i="4"/>
  <c r="P27" i="4"/>
  <c r="Q8" i="4"/>
  <c r="Q6" i="4" s="1"/>
  <c r="O8" i="4"/>
  <c r="O6" i="4" s="1"/>
  <c r="M8" i="4"/>
  <c r="M6" i="4" s="1"/>
  <c r="P8" i="4"/>
  <c r="P6" i="4" s="1"/>
  <c r="L4" i="5"/>
  <c r="N4" i="5"/>
  <c r="N35" i="4" l="1"/>
  <c r="S35" i="4" s="1"/>
  <c r="S34" i="4"/>
  <c r="N34" i="4"/>
  <c r="N18" i="4"/>
  <c r="S18" i="4" s="1"/>
  <c r="N14" i="4"/>
  <c r="S14" i="4" s="1"/>
  <c r="S8" i="4"/>
  <c r="N8" i="4"/>
  <c r="S27" i="4"/>
  <c r="N27" i="4"/>
  <c r="S13" i="4"/>
  <c r="N13" i="4"/>
  <c r="S29" i="4"/>
  <c r="N29" i="4"/>
  <c r="S25" i="4"/>
  <c r="N25" i="4"/>
  <c r="S17" i="4"/>
  <c r="N17" i="4"/>
  <c r="S11" i="4"/>
  <c r="N11" i="4"/>
  <c r="S33" i="4"/>
  <c r="N33" i="4"/>
  <c r="S15" i="4"/>
  <c r="N15" i="4"/>
  <c r="N30" i="4"/>
  <c r="S30" i="4" s="1"/>
  <c r="N26" i="4"/>
  <c r="S26" i="4" s="1"/>
  <c r="N9" i="4"/>
  <c r="N6" i="4" s="1"/>
  <c r="N28" i="4"/>
  <c r="S28" i="4" s="1"/>
  <c r="N12" i="4"/>
  <c r="S12" i="4" s="1"/>
  <c r="N16" i="4"/>
  <c r="S16" i="4" s="1"/>
  <c r="N10" i="4"/>
  <c r="S10" i="4" s="1"/>
  <c r="N31" i="4"/>
  <c r="S31" i="4"/>
  <c r="S9" i="4" l="1"/>
  <c r="S6" i="4" s="1"/>
</calcChain>
</file>

<file path=xl/comments1.xml><?xml version="1.0" encoding="utf-8"?>
<comments xmlns="http://schemas.openxmlformats.org/spreadsheetml/2006/main">
  <authors>
    <author>성애원</author>
    <author>하미영</author>
  </authors>
  <commentList>
    <comment ref="G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성애원:
</t>
        </r>
        <r>
          <rPr>
            <sz val="9"/>
            <color rgb="FF000000"/>
            <rFont val="굴림"/>
            <family val="3"/>
            <charset val="129"/>
          </rPr>
          <t>시간외수당 셀 참고</t>
        </r>
      </text>
    </comment>
    <comment ref="H4" authorId="1">
      <text>
        <r>
          <rPr>
            <b/>
            <sz val="9"/>
            <color rgb="FF000000"/>
            <rFont val="굴림"/>
            <family val="3"/>
            <charset val="129"/>
          </rPr>
          <t xml:space="preserve">시간외수당:11월분+12월분
</t>
        </r>
      </text>
    </comment>
  </commentList>
</comments>
</file>

<file path=xl/comments2.xml><?xml version="1.0" encoding="utf-8"?>
<comments xmlns="http://schemas.openxmlformats.org/spreadsheetml/2006/main">
  <authors>
    <author>성애원</author>
  </authors>
  <commentList>
    <comment ref="G3" authorId="0">
      <text>
        <r>
          <rPr>
            <b/>
            <sz val="9"/>
            <color rgb="FF000000"/>
            <rFont val="굴림"/>
            <family val="3"/>
            <charset val="129"/>
          </rPr>
          <t xml:space="preserve">성애원:
</t>
        </r>
        <r>
          <rPr>
            <sz val="9"/>
            <color rgb="FF000000"/>
            <rFont val="굴림"/>
            <family val="3"/>
            <charset val="129"/>
          </rPr>
          <t>시간외수당 셀 참고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C14" authorId="0">
      <text>
        <r>
          <rPr>
            <sz val="9"/>
            <color rgb="FF000000"/>
            <rFont val="Tahoma"/>
            <family val="2"/>
          </rPr>
          <t xml:space="preserve">입사일:2015.8.1
</t>
        </r>
      </text>
    </comment>
    <comment ref="C24" authorId="0">
      <text>
        <r>
          <rPr>
            <b/>
            <sz val="9"/>
            <color rgb="FF000000"/>
            <rFont val="Tahoma"/>
            <family val="2"/>
          </rPr>
          <t>2015.2.1입사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rgb="FF000000"/>
            <rFont val="Tahoma"/>
            <family val="2"/>
          </rPr>
          <t xml:space="preserve">2015.3.1 입사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rgb="FF000000"/>
            <rFont val="Tahoma"/>
            <family val="2"/>
          </rPr>
          <t>2015.4.1입사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2015.7.1 입사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29" authorId="0">
      <text>
        <r>
          <rPr>
            <sz val="9"/>
            <color rgb="FF000000"/>
            <rFont val="돋움"/>
            <family val="3"/>
            <charset val="129"/>
          </rPr>
          <t>입사일</t>
        </r>
        <r>
          <rPr>
            <sz val="9"/>
            <color rgb="FF000000"/>
            <rFont val="Tahoma"/>
            <family val="2"/>
          </rPr>
          <t xml:space="preserve">:2015.10.1
</t>
        </r>
      </text>
    </comment>
  </commentList>
</comments>
</file>

<file path=xl/sharedStrings.xml><?xml version="1.0" encoding="utf-8"?>
<sst xmlns="http://schemas.openxmlformats.org/spreadsheetml/2006/main" count="448" uniqueCount="318">
  <si>
    <t xml:space="preserve">기관홍보용 달력제작 2,000*150부=300,000 
기타 운영경비                   700,000
계                          1,000,000 </t>
  </si>
  <si>
    <t xml:space="preserve">2016년 성애원(시설) 경상보조금 생계비(국시비) 산출내역 </t>
  </si>
  <si>
    <t>2016년 성애원(시설) 경상보조금 관리운영비 산출내역(국시비)</t>
  </si>
  <si>
    <t>후원금 각종비품구입
400,000*12월=4,800,000원</t>
  </si>
  <si>
    <t>생 계 비
-생계비
-춘계부식/김장비
-월동대책비
-특별위로비</t>
  </si>
  <si>
    <t>장기
요양보험
(6.55%)</t>
  </si>
  <si>
    <t>2016년 임직원 보수일람표</t>
  </si>
  <si>
    <t>퇴직적립금
(A/12)</t>
  </si>
  <si>
    <t>1,600/일1인당,240일</t>
  </si>
  <si>
    <t>2,000,000/년1회</t>
  </si>
  <si>
    <t>100,000/년1인당</t>
  </si>
  <si>
    <t>개인결연(개인후원,어린이재단)
아동연합회 경유 지정후원금
지역사회 지정후원금</t>
  </si>
  <si>
    <t>수지에니어그램       35,000*9명=  315,000
음악치료프로그램     70,000*5명=  350,000
또래관계개선프로그램 75,000*20명=1,500,000
계                             2,165,000</t>
  </si>
  <si>
    <t>학습재료 등 6,000*65명*12월= 4,680,000</t>
  </si>
  <si>
    <t>시설운영위원회의비 100,000*4분기= 400,000
사례회의비        30,000원*12월= 360,000
후원자간담회비    50,000원*4분기= 200,000
계                              960,000</t>
  </si>
  <si>
    <t xml:space="preserve">취사연료비   1,980*65명*12월=1,544,400
종사자급식비 1,000*29명*12월=  348,000
심야전기     1,500,000*12월=18,000,000
개인부담        75,000*12월=   900,000
계                         20,792,400 </t>
  </si>
  <si>
    <t xml:space="preserve">후원자 감사패      66,000원*10개=  660,000
후원자 감사선물  1,000,000원*2회=2,000,000
기타 기관운영비                  1,000,000
  계                            3,660,000            </t>
  </si>
  <si>
    <t>아동용돈(초등)</t>
  </si>
  <si>
    <t>산  출  기  초</t>
  </si>
  <si>
    <t>지정,비지정후원금</t>
  </si>
  <si>
    <t>사 용 자 부 담</t>
  </si>
  <si>
    <t>문화체험
사업비</t>
  </si>
  <si>
    <t>합      계</t>
  </si>
  <si>
    <t>80,000/년1인당</t>
  </si>
  <si>
    <t>14,270/년1인당</t>
  </si>
  <si>
    <t>퇴직금및
퇴직적립금</t>
  </si>
  <si>
    <t>기타예금
이자수입</t>
  </si>
  <si>
    <t>24,000/월1인당</t>
  </si>
  <si>
    <t>(단위 : 천원)</t>
  </si>
  <si>
    <t>85,000/년1인당</t>
  </si>
  <si>
    <t>사회보험
부담비용</t>
  </si>
  <si>
    <t>18,000/월1인당</t>
  </si>
  <si>
    <t>24,000/년1인당</t>
  </si>
  <si>
    <t>수용비및
수수료</t>
  </si>
  <si>
    <t>고용보험
(0.9%)</t>
  </si>
  <si>
    <t>특별위로비(설,추석)</t>
  </si>
  <si>
    <t>학습보조비(중등)</t>
  </si>
  <si>
    <t>춘계부식비/월동김장비</t>
  </si>
  <si>
    <t>89,237/월</t>
  </si>
  <si>
    <t>비         교</t>
  </si>
  <si>
    <t>바우처
프로그램</t>
  </si>
  <si>
    <t>학습보조비(초등)</t>
  </si>
  <si>
    <t>22,500/월1인당</t>
  </si>
  <si>
    <t>38,700/년1인당</t>
  </si>
  <si>
    <t>52,600/년2회</t>
  </si>
  <si>
    <t>프로그램
사업비</t>
  </si>
  <si>
    <t>국민연금
(4.5%)</t>
  </si>
  <si>
    <t>정서지원
프로그램</t>
  </si>
  <si>
    <t>비        교</t>
  </si>
  <si>
    <t>아동개인결연
프로그램</t>
  </si>
  <si>
    <t>의무교육
프로그램</t>
  </si>
  <si>
    <t>김서연</t>
  </si>
  <si>
    <t>여인실</t>
  </si>
  <si>
    <t>성애원</t>
  </si>
  <si>
    <t>인건비</t>
  </si>
  <si>
    <t>윤기영</t>
  </si>
  <si>
    <t>하미영</t>
  </si>
  <si>
    <t>김희련</t>
  </si>
  <si>
    <t>이명진</t>
  </si>
  <si>
    <t>임수진</t>
  </si>
  <si>
    <t>전상미</t>
  </si>
  <si>
    <t>조미란</t>
  </si>
  <si>
    <t>김영순</t>
  </si>
  <si>
    <t>김시래</t>
  </si>
  <si>
    <t>서가현</t>
  </si>
  <si>
    <t>윤지희</t>
  </si>
  <si>
    <t>권선정</t>
  </si>
  <si>
    <t>강명수</t>
  </si>
  <si>
    <t>박지혜</t>
  </si>
  <si>
    <t>김경화</t>
  </si>
  <si>
    <t>곽민정</t>
  </si>
  <si>
    <t>한경화</t>
  </si>
  <si>
    <t>임낙영</t>
  </si>
  <si>
    <t>류태경</t>
  </si>
  <si>
    <t>김문정</t>
  </si>
  <si>
    <t>잡수입</t>
  </si>
  <si>
    <t>성명</t>
  </si>
  <si>
    <t>NO</t>
  </si>
  <si>
    <t>48명</t>
  </si>
  <si>
    <t>구 분</t>
  </si>
  <si>
    <t>이필순</t>
  </si>
  <si>
    <t>합 계</t>
  </si>
  <si>
    <t>박초롱</t>
  </si>
  <si>
    <t>직책</t>
  </si>
  <si>
    <t>교통비</t>
  </si>
  <si>
    <t>간호사</t>
  </si>
  <si>
    <t>예산액</t>
  </si>
  <si>
    <t>사무원</t>
  </si>
  <si>
    <t>합계</t>
  </si>
  <si>
    <t>계</t>
  </si>
  <si>
    <t>지원금</t>
  </si>
  <si>
    <t>비 고</t>
  </si>
  <si>
    <t>위생원</t>
  </si>
  <si>
    <t>연1회</t>
  </si>
  <si>
    <t>영양사</t>
  </si>
  <si>
    <t>연2회</t>
  </si>
  <si>
    <t>총급여</t>
  </si>
  <si>
    <t>소계</t>
  </si>
  <si>
    <t>기준액</t>
  </si>
  <si>
    <t>사무비</t>
  </si>
  <si>
    <t>호봉</t>
  </si>
  <si>
    <t>급여계</t>
  </si>
  <si>
    <t>예비비</t>
  </si>
  <si>
    <t>운영비</t>
  </si>
  <si>
    <t>목</t>
  </si>
  <si>
    <t>기본급</t>
  </si>
  <si>
    <t>관</t>
  </si>
  <si>
    <t>월</t>
  </si>
  <si>
    <t>8명</t>
  </si>
  <si>
    <t>시설비</t>
  </si>
  <si>
    <t>이월금</t>
  </si>
  <si>
    <t>피복비</t>
  </si>
  <si>
    <t>소 계</t>
  </si>
  <si>
    <t>잡지출</t>
  </si>
  <si>
    <t>교육비</t>
  </si>
  <si>
    <t>이미남</t>
  </si>
  <si>
    <t>증</t>
  </si>
  <si>
    <t>감</t>
  </si>
  <si>
    <t>시간</t>
  </si>
  <si>
    <t>전입금</t>
  </si>
  <si>
    <t>유영애</t>
  </si>
  <si>
    <t>공제액</t>
  </si>
  <si>
    <t>사업비</t>
  </si>
  <si>
    <t xml:space="preserve">항 </t>
  </si>
  <si>
    <t>노미아</t>
  </si>
  <si>
    <t>아동이미용비      월50,000*12월=   600,000
아동목욕비      50명*6,000*12월= 3,600,000
계                              4,200,000</t>
  </si>
  <si>
    <t xml:space="preserve">피아노      300,000*12월= 3,600,000
태권도      150,000*12월= 1,800,000
한자서예    200,000*12월= 2,400,000
눈높이      800,000*12월= 9,600,000
씽크빅      700,000*12월= 8,400,000
기타사교육비 800,000*12월= 9,600,000
계                       35,400,000 </t>
  </si>
  <si>
    <t xml:space="preserve">예 산 액 </t>
  </si>
  <si>
    <t>세 입 부</t>
  </si>
  <si>
    <t>중학생학용품비</t>
  </si>
  <si>
    <t>원  장</t>
  </si>
  <si>
    <t>생활지도원15</t>
  </si>
  <si>
    <t>생활지도원4</t>
  </si>
  <si>
    <t>차 량 비</t>
  </si>
  <si>
    <t>연 료 비</t>
  </si>
  <si>
    <t>시도보조금</t>
  </si>
  <si>
    <t>학습지원비</t>
  </si>
  <si>
    <t>교 통 비</t>
  </si>
  <si>
    <t>국민연금</t>
  </si>
  <si>
    <t>의 료 비</t>
  </si>
  <si>
    <t>보조금수입</t>
  </si>
  <si>
    <t>과     목</t>
  </si>
  <si>
    <t>건강보험</t>
  </si>
  <si>
    <t>이미용비</t>
  </si>
  <si>
    <t>지급기준</t>
  </si>
  <si>
    <t>차감지급액</t>
  </si>
  <si>
    <t>제세공과금</t>
  </si>
  <si>
    <t>급    여</t>
  </si>
  <si>
    <t>생활지도원10</t>
  </si>
  <si>
    <t>(단위:원)</t>
  </si>
  <si>
    <t>주부식비</t>
  </si>
  <si>
    <t>기타보조금</t>
  </si>
  <si>
    <t>행사지원비</t>
  </si>
  <si>
    <t>업무추진비</t>
  </si>
  <si>
    <t>예 산 액</t>
  </si>
  <si>
    <t>제 수 당</t>
  </si>
  <si>
    <t>여    비</t>
  </si>
  <si>
    <t>기타잡수입</t>
  </si>
  <si>
    <t>생활지도원18</t>
  </si>
  <si>
    <t>3세이상</t>
  </si>
  <si>
    <t>학용품비</t>
  </si>
  <si>
    <t>명절위로비</t>
  </si>
  <si>
    <t>회 의 비</t>
  </si>
  <si>
    <t>하계수련비</t>
  </si>
  <si>
    <t>지급회수</t>
  </si>
  <si>
    <t>후원금수입</t>
  </si>
  <si>
    <t>도서구입비</t>
  </si>
  <si>
    <t>시간외수당</t>
  </si>
  <si>
    <t>지정후원금</t>
  </si>
  <si>
    <t>퇴직적립금</t>
  </si>
  <si>
    <t xml:space="preserve">직원교육비  50,000*29명=1,450,000
직원출장비 100,000*12월=1,200,000
시설장 세미나비           600,000
사무국장 세미나비         500,000
계                     3,750,000 </t>
  </si>
  <si>
    <t>월동대책비</t>
  </si>
  <si>
    <t>생활지도원6</t>
  </si>
  <si>
    <t>시설장비유지비</t>
  </si>
  <si>
    <t>조리원2</t>
  </si>
  <si>
    <t>초등부교재대</t>
  </si>
  <si>
    <t>산출내역</t>
  </si>
  <si>
    <t>생활지도원16</t>
  </si>
  <si>
    <t>명절휴가비</t>
  </si>
  <si>
    <t>생활지도원2</t>
  </si>
  <si>
    <t>생활지도원12</t>
  </si>
  <si>
    <t>임상심리상담사</t>
  </si>
  <si>
    <t>성 애 원</t>
  </si>
  <si>
    <t>생활복지사</t>
  </si>
  <si>
    <t>기본급계</t>
  </si>
  <si>
    <t>조리원1</t>
  </si>
  <si>
    <t>생활지도원7</t>
  </si>
  <si>
    <t>생활지도원13</t>
  </si>
  <si>
    <t>아동용돈(중)</t>
  </si>
  <si>
    <t>생활지도원11</t>
  </si>
  <si>
    <t>생활지도원17</t>
  </si>
  <si>
    <t>가족수당</t>
  </si>
  <si>
    <t>예상
인원</t>
  </si>
  <si>
    <t>안전관리비</t>
  </si>
  <si>
    <t>환경개선비</t>
  </si>
  <si>
    <t>표준보수월액</t>
  </si>
  <si>
    <t>3세미만</t>
  </si>
  <si>
    <t>고용보험</t>
  </si>
  <si>
    <t>피 복 비</t>
  </si>
  <si>
    <t>사무국장</t>
  </si>
  <si>
    <t>장기
요양보험</t>
  </si>
  <si>
    <t>영아위생대</t>
  </si>
  <si>
    <t>생활지도원1</t>
  </si>
  <si>
    <t>제수당계</t>
  </si>
  <si>
    <t>생활지도원5</t>
  </si>
  <si>
    <t>계(C)</t>
  </si>
  <si>
    <t>조  숙</t>
  </si>
  <si>
    <t>생활지도원9</t>
  </si>
  <si>
    <t>자립전담요원</t>
  </si>
  <si>
    <t>합  계</t>
  </si>
  <si>
    <t>취사연료비</t>
  </si>
  <si>
    <t>중학생부교재대</t>
  </si>
  <si>
    <t>65명기준</t>
  </si>
  <si>
    <t>생활지도원14</t>
  </si>
  <si>
    <t>생활지도원8</t>
  </si>
  <si>
    <t>(단위:천원)</t>
  </si>
  <si>
    <t>산재보험</t>
  </si>
  <si>
    <t>전년도이월금</t>
  </si>
  <si>
    <t>기관운영비</t>
  </si>
  <si>
    <t>국고보조금</t>
  </si>
  <si>
    <t>비지정후원금</t>
  </si>
  <si>
    <t>기타운영비</t>
  </si>
  <si>
    <t>공공요금</t>
  </si>
  <si>
    <t>수학여행비</t>
  </si>
  <si>
    <t>산 출 기 초</t>
  </si>
  <si>
    <t>합    계</t>
  </si>
  <si>
    <t>자산취득비</t>
  </si>
  <si>
    <t>치료재활사업비</t>
  </si>
  <si>
    <t xml:space="preserve">잡지출 </t>
  </si>
  <si>
    <t>기타교육비</t>
  </si>
  <si>
    <t>세 출 부</t>
  </si>
  <si>
    <t>재산조성비</t>
  </si>
  <si>
    <t xml:space="preserve">아동급식비  197,514*65명*12개월=154,060,920
종사자급식비 29명*49,000원*12월= 17,052,000
춘계부식,김장비14,270원*65명*1회=   927,550
월동대책비     30,782원*65명*1회= 2,000,830
특별위로비    35,000원*65명*2회=  4,550,000
후원금            200,000*12월=   2,400,000
계                             180,991,300 </t>
  </si>
  <si>
    <t>아동 65명*6,000*12월= 4,680,000 
생일파티 65명*45,000= 2,925,000
계                   7,605,000</t>
  </si>
  <si>
    <t xml:space="preserve">종사자급식비29*50,000*12월=17,400,000
개인부담금    150,000*12월= 1,800,000
실습비      70,000*5명*2회=   700,000
기타                         100,000
계                        20,000,000   </t>
  </si>
  <si>
    <t>초등6학년 11명*18,000원*12월=2,376,000
초등5학년 11명*18,000원*12월=2,376,000
초등4학년 12명*18,000원*12월=2,592,000
초등3학년  8명*18,000원*12월=1,728,000
초등2학년  4명*18,000원*12월=864,000
초등1학년  3명*18,000원*10월=540,000</t>
  </si>
  <si>
    <t>시설비          5,000,000</t>
  </si>
  <si>
    <t>중1학년  8명*24,000원*12월=2,304,000</t>
  </si>
  <si>
    <t>초등6학년  11명*85,000원*년1회=935,000</t>
  </si>
  <si>
    <t>3세이상 65명*24,000원*년1회=1,560,000</t>
  </si>
  <si>
    <t>200,296*65명*12개월=156,230,880</t>
  </si>
  <si>
    <t>초등학생 48명*80,000원*년1회=3,840,000</t>
  </si>
  <si>
    <t>중1학년 8명*100,000원*년1회=800,000</t>
  </si>
  <si>
    <t>교통안전,재난대비,약물오남용
실종예방,성폭력예방</t>
  </si>
  <si>
    <t>3명*89,237원*12월=3,212,532</t>
  </si>
  <si>
    <t>1,980*65명*12개월=1,544,400</t>
  </si>
  <si>
    <t>3세미만 3명*22,500원*12월=810,000</t>
  </si>
  <si>
    <t>2016년 종사자 인건비 산출내역</t>
  </si>
  <si>
    <t>2016년 종사자 사회보험 산출내역</t>
  </si>
  <si>
    <t>65명*14,270원*년1회=927,550</t>
  </si>
  <si>
    <t>주부식비통합
-피복비
-취사연료 포함</t>
  </si>
  <si>
    <t>개인결연금 65명 62,728,000</t>
  </si>
  <si>
    <t>표준보수액</t>
  </si>
  <si>
    <t>보존지급액</t>
  </si>
  <si>
    <t>121,700/월</t>
  </si>
  <si>
    <t>20,356*65명*12개월=15,877,680</t>
  </si>
  <si>
    <t>65명*121,700원*12월=94,926,000</t>
  </si>
  <si>
    <t>2016년도 아동복지시설 운영비 등 지원기준</t>
  </si>
  <si>
    <t>중1학년 1,600*240일*5명=1,920,000
교통비        30,000*12월=360,000
계                     2,280,000</t>
  </si>
  <si>
    <t>4,570,000/3년마다</t>
  </si>
  <si>
    <t>2016년도 아동복지시설 운영비등 지원기준</t>
  </si>
  <si>
    <t>중1학년 5명*1,600원*240일=1,920,000</t>
  </si>
  <si>
    <t>주부식비
1식
2,172원
1,978*91식
월 1인당
197,514</t>
  </si>
  <si>
    <t>5명</t>
  </si>
  <si>
    <t>65명</t>
  </si>
  <si>
    <t>기본급     711,864,000</t>
  </si>
  <si>
    <t>연합회행사지원비       604,000
어린이날행사비         696,000
성탄파티               700,000
계                  2,000,000</t>
  </si>
  <si>
    <t>11명</t>
  </si>
  <si>
    <t>8명</t>
  </si>
  <si>
    <t>48명</t>
  </si>
  <si>
    <t>서선미</t>
  </si>
  <si>
    <t>197,514*65명*12개월=154,060,920</t>
  </si>
  <si>
    <t>생활지도원3(선임)</t>
  </si>
  <si>
    <t>35,000원*65명*2회</t>
  </si>
  <si>
    <t>30,782원*65명*1회</t>
  </si>
  <si>
    <t>산재보험
(0.7%)</t>
  </si>
  <si>
    <t>건강보험
(3.06%)</t>
  </si>
  <si>
    <t>수용기관경비
-수용기관경비
-아동용돈
-하계수련비
-양육수당</t>
    <phoneticPr fontId="26" type="noConversion"/>
  </si>
  <si>
    <t>12개월 계산?</t>
    <phoneticPr fontId="26" type="noConversion"/>
  </si>
  <si>
    <t>기타후생경비</t>
    <phoneticPr fontId="26" type="noConversion"/>
  </si>
  <si>
    <r>
      <t xml:space="preserve">전화요금        300,000*12월=  3,600,000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</t>
    </r>
    <r>
      <rPr>
        <b/>
        <sz val="9"/>
        <rFont val="바탕체"/>
        <family val="1"/>
        <charset val="129"/>
      </rPr>
      <t>개인부담금       75,000*12월=   900,000</t>
    </r>
    <r>
      <rPr>
        <b/>
        <sz val="9"/>
        <color rgb="FF000000"/>
        <rFont val="바탕체"/>
        <family val="1"/>
        <charset val="129"/>
      </rPr>
      <t xml:space="preserve">
계                          32,460,000 </t>
    </r>
    <phoneticPr fontId="26" type="noConversion"/>
  </si>
  <si>
    <t xml:space="preserve">2016년도 성애원(시설) 2차 추경 세입 세출예산(안) </t>
    <phoneticPr fontId="26" type="noConversion"/>
  </si>
  <si>
    <t xml:space="preserve">2016년도 성애원(시설) 2차 추경 세입 세출예산(안) </t>
    <phoneticPr fontId="26" type="noConversion"/>
  </si>
  <si>
    <t>1차추경</t>
    <phoneticPr fontId="26" type="noConversion"/>
  </si>
  <si>
    <t>2차추경</t>
    <phoneticPr fontId="26" type="noConversion"/>
  </si>
  <si>
    <t>1차추경</t>
    <phoneticPr fontId="26" type="noConversion"/>
  </si>
  <si>
    <t>2차추경</t>
    <phoneticPr fontId="26" type="noConversion"/>
  </si>
  <si>
    <t>중8명*39,200원*년1회=313,600</t>
    <phoneticPr fontId="26" type="noConversion"/>
  </si>
  <si>
    <t>초등48명*39,200원*년1회=1,881,600</t>
    <phoneticPr fontId="26" type="noConversion"/>
  </si>
  <si>
    <t>중8명*26,300원*년2회=420,800</t>
    <phoneticPr fontId="26" type="noConversion"/>
  </si>
  <si>
    <t>2016년 성애원(시설) 관리운영비 산출내역(시비)</t>
    <phoneticPr fontId="26" type="noConversion"/>
  </si>
  <si>
    <t>2016년 성애원(시설) 교육급여 산출내역</t>
    <phoneticPr fontId="26" type="noConversion"/>
  </si>
  <si>
    <t>소계</t>
    <phoneticPr fontId="26" type="noConversion"/>
  </si>
  <si>
    <r>
      <t xml:space="preserve">진료비             200,000*12월=2,400,000
입원비            1,000,000*2명=2,000,000
</t>
    </r>
    <r>
      <rPr>
        <b/>
        <sz val="9"/>
        <rFont val="바탕체"/>
        <family val="1"/>
        <charset val="129"/>
      </rPr>
      <t>수술비(포경)        150,000*7명=1,050,000</t>
    </r>
    <r>
      <rPr>
        <b/>
        <sz val="9"/>
        <color rgb="FF000000"/>
        <rFont val="바탕체"/>
        <family val="1"/>
        <charset val="129"/>
      </rPr>
      <t xml:space="preserve">
약품구입            50,000*12월=  600,000
장애아동진단비      100,000*20명=2,000,000
CT 및 MRI 촬영                  1,000,000
안경수선및제작비 50,000*4명*12월=2,400,000 
계                             11,450,000</t>
    </r>
    <phoneticPr fontId="26" type="noConversion"/>
  </si>
  <si>
    <t>학용품비52,600→26,300
부교재비38,700→39,200</t>
    <phoneticPr fontId="26" type="noConversion"/>
  </si>
  <si>
    <r>
      <rPr>
        <b/>
        <sz val="9"/>
        <color rgb="FFFF0000"/>
        <rFont val="바탕체"/>
        <family val="1"/>
        <charset val="129"/>
      </rPr>
      <t xml:space="preserve">아동치료재활사업비 1,200,000*2명 = 2,400,000
</t>
    </r>
    <r>
      <rPr>
        <b/>
        <sz val="9"/>
        <color rgb="FF000000"/>
        <rFont val="바탕체"/>
        <family val="1"/>
        <charset val="129"/>
      </rPr>
      <t>후원금 300,000*2명 = 600,000</t>
    </r>
    <phoneticPr fontId="26" type="noConversion"/>
  </si>
  <si>
    <t>초등 수학여행비     85,000*11명*1회= 935,000
중등 수련회비       70,000*8명*2회=1,120,000
계                              2,055,000</t>
    <phoneticPr fontId="26" type="noConversion"/>
  </si>
  <si>
    <r>
      <rPr>
        <b/>
        <sz val="10"/>
        <color rgb="FFFF0000"/>
        <rFont val="바탕체"/>
        <family val="1"/>
        <charset val="129"/>
      </rPr>
      <t>치료재활사업비 2,400,000</t>
    </r>
    <r>
      <rPr>
        <b/>
        <sz val="10"/>
        <color rgb="FF000000"/>
        <rFont val="바탕체"/>
        <family val="1"/>
        <charset val="129"/>
      </rPr>
      <t xml:space="preserve">
</t>
    </r>
    <r>
      <rPr>
        <b/>
        <sz val="10"/>
        <rFont val="바탕체"/>
        <family val="1"/>
        <charset val="129"/>
      </rPr>
      <t>양육수당 200,000</t>
    </r>
    <phoneticPr fontId="26" type="noConversion"/>
  </si>
  <si>
    <t>법인전입금</t>
    <phoneticPr fontId="26" type="noConversion"/>
  </si>
  <si>
    <t>법인전입금
(후원금)</t>
    <phoneticPr fontId="26" type="noConversion"/>
  </si>
  <si>
    <r>
      <t xml:space="preserve">명절휴가비   71,186,400 
시간외수당  100,368,540 
가족수당      6,240,000
</t>
    </r>
    <r>
      <rPr>
        <b/>
        <sz val="9"/>
        <color theme="1"/>
        <rFont val="바탕체"/>
        <family val="1"/>
        <charset val="129"/>
      </rPr>
      <t xml:space="preserve">보존지급액      684,000 </t>
    </r>
    <r>
      <rPr>
        <b/>
        <sz val="9"/>
        <color rgb="FF000000"/>
        <rFont val="바탕체"/>
        <family val="1"/>
        <charset val="129"/>
      </rPr>
      <t xml:space="preserve">
계         178,478,940</t>
    </r>
    <phoneticPr fontId="26" type="noConversion"/>
  </si>
  <si>
    <t>퇴직금및퇴직적립금 74,195,130</t>
    <phoneticPr fontId="26" type="noConversion"/>
  </si>
  <si>
    <r>
      <t xml:space="preserve">아동용돈    12,684,000
하계수련비   1,560,000
교통비       1,920,000   
수학여행비     935,000
학습보조비   4,640,000
안전관리비   2,000,000
환경개선비  </t>
    </r>
    <r>
      <rPr>
        <b/>
        <sz val="10"/>
        <color theme="1"/>
        <rFont val="바탕체"/>
        <family val="1"/>
        <charset val="129"/>
      </rPr>
      <t xml:space="preserve"> 4,575,000</t>
    </r>
    <r>
      <rPr>
        <b/>
        <sz val="10"/>
        <color rgb="FF000000"/>
        <rFont val="바탕체"/>
        <family val="1"/>
        <charset val="129"/>
      </rPr>
      <t xml:space="preserve">
계          </t>
    </r>
    <r>
      <rPr>
        <b/>
        <sz val="10"/>
        <color theme="1"/>
        <rFont val="바탕체"/>
        <family val="1"/>
        <charset val="129"/>
      </rPr>
      <t xml:space="preserve">28,314,000          </t>
    </r>
    <r>
      <rPr>
        <b/>
        <sz val="10"/>
        <color rgb="FF000000"/>
        <rFont val="바탕체"/>
        <family val="1"/>
        <charset val="129"/>
      </rPr>
      <t xml:space="preserve"> </t>
    </r>
    <phoneticPr fontId="26" type="noConversion"/>
  </si>
  <si>
    <r>
      <t xml:space="preserve">인건비   1,047,877,340
생계비     178,033,830 
</t>
    </r>
    <r>
      <rPr>
        <b/>
        <sz val="10"/>
        <color rgb="FFFF0000"/>
        <rFont val="바탕체"/>
        <family val="1"/>
        <charset val="129"/>
      </rPr>
      <t>운영비      99,073,550</t>
    </r>
    <r>
      <rPr>
        <b/>
        <sz val="10"/>
        <color rgb="FF000000"/>
        <rFont val="바탕체"/>
        <family val="1"/>
        <charset val="129"/>
      </rPr>
      <t xml:space="preserve">
계      </t>
    </r>
    <r>
      <rPr>
        <b/>
        <sz val="10"/>
        <color rgb="FFFF0000"/>
        <rFont val="바탕체"/>
        <family val="1"/>
        <charset val="129"/>
      </rPr>
      <t xml:space="preserve"> 1,324,984,720</t>
    </r>
    <phoneticPr fontId="26" type="noConversion"/>
  </si>
  <si>
    <t>국민건강보험 27,244,320
장기요양보험  1,784,410
국민연금보험 40,065,300
산재보험      6,232,270
고용보험      8,012,970
계           83,339,270</t>
    <phoneticPr fontId="26" type="noConversion"/>
  </si>
  <si>
    <r>
      <t xml:space="preserve">명절선물구입 29명*20,000*2회= 1,160,000
직원워크샵   29명*30,000*2회= 1,740,000
직원유니폼   29명*20,000    =   580,000
공로패제작    2명*66,000    =   132,000
</t>
    </r>
    <r>
      <rPr>
        <b/>
        <sz val="9"/>
        <color theme="1"/>
        <rFont val="바탕체"/>
        <family val="1"/>
        <charset val="129"/>
      </rPr>
      <t>퇴직연금수수료                 1,000,000</t>
    </r>
    <r>
      <rPr>
        <b/>
        <sz val="9"/>
        <color rgb="FF000000"/>
        <rFont val="바탕체"/>
        <family val="1"/>
        <charset val="129"/>
      </rPr>
      <t xml:space="preserve">
계                           4,612,000   </t>
    </r>
    <phoneticPr fontId="26" type="noConversion"/>
  </si>
  <si>
    <r>
      <t xml:space="preserve">사무용품비     250,000*12월= 3,000,000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사무기사용료    300,000*12월= 3,600,000
프린트 렌탈료   250,000*12월= 3,000,000 
정수기 렌탈료   200,000*12월= 2,400,000
기타                       </t>
    </r>
    <r>
      <rPr>
        <b/>
        <sz val="9"/>
        <color theme="1"/>
        <rFont val="바탕체"/>
        <family val="1"/>
        <charset val="129"/>
      </rPr>
      <t xml:space="preserve">  1,000,000
계                          23,360,000 </t>
    </r>
    <phoneticPr fontId="26" type="noConversion"/>
  </si>
  <si>
    <t xml:space="preserve">신원보증보험        15,000*3명= 45,000
상해보험(아동+종사자+여행자)    650,000
화재보험                       300,000
자동차보험(스타렉스2016년형)  1,000,000
자동차보험(스타렉스)            800,000
자동차보험(모닝)                600,000
자동차보험(스파크)              600,000
영업배상책임보험                600,000
자동차세                       600,000
환경개선부담금                1,000,000
아동연합회비1,100,000*4분기= 4,400,000
계                          10,595,000 </t>
    <phoneticPr fontId="26" type="noConversion"/>
  </si>
  <si>
    <r>
      <t xml:space="preserve">차량유류대     600,000*12월= </t>
    </r>
    <r>
      <rPr>
        <b/>
        <sz val="9"/>
        <color theme="1"/>
        <rFont val="바탕체"/>
        <family val="1"/>
        <charset val="129"/>
      </rPr>
      <t xml:space="preserve">7,200,000
차량정비유지비 200,000*12월= 1,200,000
차량소모품비   100,000*12월= 1,200,000
계                         9,600,000 </t>
    </r>
    <phoneticPr fontId="26" type="noConversion"/>
  </si>
  <si>
    <t>건물유지비용 1,000,000*12월=12,000,000
안전관리비                   2,000,000
환경개선비                   4,575,000
계                         18,575,000</t>
    <phoneticPr fontId="26" type="noConversion"/>
  </si>
  <si>
    <r>
      <t xml:space="preserve">아동필요용품 50,000*65명*12월= 39,000,000 
아동용돈 56명기준              12,684,000 
하계수련비        24,000*65명=  1,560,000
</t>
    </r>
    <r>
      <rPr>
        <b/>
        <sz val="9"/>
        <color theme="1"/>
        <rFont val="바탕체"/>
        <family val="1"/>
        <charset val="129"/>
      </rPr>
      <t>양육수당                          200,000</t>
    </r>
    <r>
      <rPr>
        <b/>
        <sz val="9"/>
        <color rgb="FF000000"/>
        <rFont val="바탕체"/>
        <family val="1"/>
        <charset val="129"/>
      </rPr>
      <t xml:space="preserve">
후원금                          1,791,000
계                           </t>
    </r>
    <r>
      <rPr>
        <b/>
        <sz val="9"/>
        <color theme="1"/>
        <rFont val="바탕체"/>
        <family val="1"/>
        <charset val="129"/>
      </rPr>
      <t xml:space="preserve"> 55,235,000</t>
    </r>
    <phoneticPr fontId="26" type="noConversion"/>
  </si>
  <si>
    <t>피복비 20,356*65명*12월=15,877,680
교복비 300,000*8명*2회=  4,800,000
후원금 37,000*65명*12월=28,860,000
계                     49,537,680</t>
    <phoneticPr fontId="26" type="noConversion"/>
  </si>
  <si>
    <r>
      <t>중학생학용품비 중8명*</t>
    </r>
    <r>
      <rPr>
        <b/>
        <sz val="9"/>
        <color rgb="FFFF0000"/>
        <rFont val="바탕체"/>
        <family val="1"/>
        <charset val="129"/>
      </rPr>
      <t>26,300*년2회=420,800</t>
    </r>
    <r>
      <rPr>
        <b/>
        <sz val="9"/>
        <color rgb="FF000000"/>
        <rFont val="바탕체"/>
        <family val="1"/>
        <charset val="129"/>
      </rPr>
      <t xml:space="preserve">
학용품구입 7,000*</t>
    </r>
    <r>
      <rPr>
        <b/>
        <sz val="9"/>
        <color theme="1"/>
        <rFont val="바탕체"/>
        <family val="1"/>
        <charset val="129"/>
      </rPr>
      <t xml:space="preserve">56명*12월=   </t>
    </r>
    <r>
      <rPr>
        <b/>
        <sz val="9"/>
        <color rgb="FFFF0000"/>
        <rFont val="바탕체"/>
        <family val="1"/>
        <charset val="129"/>
      </rPr>
      <t xml:space="preserve"> </t>
    </r>
    <r>
      <rPr>
        <b/>
        <sz val="9"/>
        <color theme="1"/>
        <rFont val="바탕체"/>
        <family val="1"/>
        <charset val="129"/>
      </rPr>
      <t xml:space="preserve">4,704,000
계                            </t>
    </r>
    <r>
      <rPr>
        <b/>
        <sz val="9"/>
        <color rgb="FFFF0000"/>
        <rFont val="바탕체"/>
        <family val="1"/>
        <charset val="129"/>
      </rPr>
      <t>5,124,800</t>
    </r>
    <phoneticPr fontId="26" type="noConversion"/>
  </si>
  <si>
    <t>문화체험비 65명*6,000*12월=4,680,000</t>
    <phoneticPr fontId="26" type="noConversion"/>
  </si>
  <si>
    <t>바우처지원비 월950,000*12월=11,400,000</t>
    <phoneticPr fontId="26" type="noConversion"/>
  </si>
  <si>
    <r>
      <t>중학생부교재비 중8명*</t>
    </r>
    <r>
      <rPr>
        <b/>
        <sz val="9"/>
        <color rgb="FFFF0000"/>
        <rFont val="바탕체"/>
        <family val="1"/>
        <charset val="129"/>
      </rPr>
      <t>39,200*년1회=313,600</t>
    </r>
    <r>
      <rPr>
        <b/>
        <sz val="9"/>
        <color rgb="FF000000"/>
        <rFont val="바탕체"/>
        <family val="1"/>
        <charset val="129"/>
      </rPr>
      <t xml:space="preserve">
초등부교재비 48명*</t>
    </r>
    <r>
      <rPr>
        <b/>
        <sz val="9"/>
        <color rgb="FFFF0000"/>
        <rFont val="바탕체"/>
        <family val="1"/>
        <charset val="129"/>
      </rPr>
      <t>39,200*년1회= 1,881.600</t>
    </r>
    <r>
      <rPr>
        <b/>
        <sz val="9"/>
        <color rgb="FF000000"/>
        <rFont val="바탕체"/>
        <family val="1"/>
        <charset val="129"/>
      </rPr>
      <t xml:space="preserve">
학습보조비    중8명*100,000*년1회=800,000
           초48명*80,000*년1회=3,840,000
기타도서구입비   100,000*4분기=   400,000
계                            7,235,200</t>
    </r>
    <phoneticPr fontId="26" type="noConversion"/>
  </si>
  <si>
    <t>1차 추경대비 0.055% 증액</t>
    <phoneticPr fontId="26" type="noConversion"/>
  </si>
  <si>
    <t>1차 추경대비 0.055% 증액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</si>
</sst>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바탕체"/>
      <family val="1"/>
      <charset val="129"/>
    </font>
    <font>
      <b/>
      <sz val="2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b/>
      <sz val="9"/>
      <color rgb="FF000000"/>
      <name val="바탕체"/>
      <family val="1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0"/>
      <color rgb="FFFF000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1"/>
      <color rgb="FFFF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FF0000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9"/>
      <name val="바탕체"/>
      <family val="1"/>
      <charset val="129"/>
    </font>
    <font>
      <b/>
      <sz val="10"/>
      <name val="바탕체"/>
      <family val="1"/>
      <charset val="129"/>
    </font>
    <font>
      <b/>
      <sz val="9"/>
      <color theme="1"/>
      <name val="바탕체"/>
      <family val="1"/>
      <charset val="129"/>
    </font>
    <font>
      <b/>
      <sz val="11"/>
      <color theme="1"/>
      <name val="바탕체"/>
      <family val="1"/>
      <charset val="129"/>
    </font>
    <font>
      <b/>
      <sz val="10"/>
      <color theme="1"/>
      <name val="바탕체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25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25" fillId="0" borderId="0">
      <alignment vertical="center"/>
    </xf>
  </cellStyleXfs>
  <cellXfs count="291">
    <xf numFmtId="0" fontId="0" fillId="0" borderId="0" xfId="0" applyNumberFormat="1">
      <alignment vertical="center"/>
    </xf>
    <xf numFmtId="0" fontId="5" fillId="2" borderId="1" xfId="2" applyNumberFormat="1" applyFont="1" applyFill="1" applyBorder="1" applyAlignment="1">
      <alignment horizontal="left" vertical="center" wrapText="1"/>
    </xf>
    <xf numFmtId="41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6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Alignment="1">
      <alignment horizontal="right" vertical="center"/>
    </xf>
    <xf numFmtId="0" fontId="7" fillId="0" borderId="1" xfId="1" applyNumberFormat="1" applyFont="1" applyFill="1" applyBorder="1" applyAlignment="1" applyProtection="1">
      <alignment horizontal="center" vertical="center"/>
      <protection locked="0"/>
    </xf>
    <xf numFmtId="41" fontId="7" fillId="0" borderId="1" xfId="1" applyNumberFormat="1" applyFont="1" applyFill="1" applyBorder="1" applyAlignment="1" applyProtection="1">
      <alignment horizontal="center" vertical="center"/>
      <protection locked="0"/>
    </xf>
    <xf numFmtId="41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8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8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1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1" fontId="6" fillId="0" borderId="1" xfId="1" applyNumberFormat="1" applyFont="1" applyBorder="1">
      <alignment vertical="center"/>
    </xf>
    <xf numFmtId="41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3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Fill="1" applyBorder="1" applyAlignment="1" applyProtection="1">
      <alignment horizontal="center" vertical="center"/>
    </xf>
    <xf numFmtId="41" fontId="6" fillId="0" borderId="1" xfId="1" applyNumberFormat="1" applyFont="1" applyBorder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41" fontId="6" fillId="0" borderId="0" xfId="1" applyNumberFormat="1" applyFont="1">
      <alignment vertical="center"/>
    </xf>
    <xf numFmtId="41" fontId="6" fillId="0" borderId="0" xfId="1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41" fontId="4" fillId="2" borderId="1" xfId="5" applyNumberFormat="1" applyFont="1" applyFill="1" applyBorder="1" applyAlignment="1">
      <alignment horizontal="center" vertical="center"/>
    </xf>
    <xf numFmtId="0" fontId="9" fillId="2" borderId="0" xfId="4" applyNumberFormat="1" applyFont="1" applyFill="1" applyAlignment="1">
      <alignment horizontal="center"/>
    </xf>
    <xf numFmtId="41" fontId="9" fillId="2" borderId="0" xfId="5" applyNumberFormat="1" applyFont="1" applyFill="1" applyAlignment="1">
      <alignment horizontal="center"/>
    </xf>
    <xf numFmtId="0" fontId="10" fillId="2" borderId="0" xfId="4" applyNumberFormat="1" applyFont="1" applyFill="1" applyAlignment="1">
      <alignment horizontal="left" vertical="center"/>
    </xf>
    <xf numFmtId="0" fontId="4" fillId="0" borderId="0" xfId="3" applyNumberFormat="1" applyFont="1">
      <alignment vertical="center"/>
    </xf>
    <xf numFmtId="0" fontId="11" fillId="0" borderId="0" xfId="3" applyNumberFormat="1" applyFont="1" applyFill="1">
      <alignment vertical="center"/>
    </xf>
    <xf numFmtId="0" fontId="4" fillId="0" borderId="0" xfId="3" applyNumberFormat="1" applyFont="1" applyFill="1">
      <alignment vertical="center"/>
    </xf>
    <xf numFmtId="0" fontId="11" fillId="2" borderId="0" xfId="3" applyNumberFormat="1" applyFont="1" applyFill="1">
      <alignment vertical="center"/>
    </xf>
    <xf numFmtId="0" fontId="4" fillId="2" borderId="0" xfId="3" applyNumberFormat="1" applyFont="1" applyFill="1">
      <alignment vertical="center"/>
    </xf>
    <xf numFmtId="41" fontId="11" fillId="2" borderId="0" xfId="3" applyNumberFormat="1" applyFont="1" applyFill="1">
      <alignment vertical="center"/>
    </xf>
    <xf numFmtId="0" fontId="11" fillId="2" borderId="1" xfId="2" applyNumberFormat="1" applyFont="1" applyFill="1" applyBorder="1" applyAlignment="1" applyProtection="1"/>
    <xf numFmtId="0" fontId="11" fillId="4" borderId="1" xfId="2" applyNumberFormat="1" applyFont="1" applyFill="1" applyBorder="1" applyAlignment="1" applyProtection="1">
      <alignment horizontal="right"/>
    </xf>
    <xf numFmtId="41" fontId="10" fillId="4" borderId="1" xfId="2" applyNumberFormat="1" applyFont="1" applyFill="1" applyBorder="1" applyAlignment="1" applyProtection="1">
      <alignment horizontal="center" vertical="center"/>
    </xf>
    <xf numFmtId="0" fontId="11" fillId="2" borderId="1" xfId="2" applyNumberFormat="1" applyFont="1" applyFill="1" applyBorder="1" applyAlignment="1" applyProtection="1">
      <alignment vertical="center"/>
    </xf>
    <xf numFmtId="177" fontId="11" fillId="5" borderId="1" xfId="2" applyNumberFormat="1" applyFont="1" applyFill="1" applyBorder="1" applyAlignment="1" applyProtection="1">
      <alignment horizontal="right" vertical="center"/>
    </xf>
    <xf numFmtId="41" fontId="10" fillId="5" borderId="1" xfId="5" applyNumberFormat="1" applyFont="1" applyFill="1" applyBorder="1" applyAlignment="1" applyProtection="1">
      <alignment horizontal="center" vertical="center"/>
    </xf>
    <xf numFmtId="0" fontId="12" fillId="5" borderId="1" xfId="2" applyNumberFormat="1" applyFont="1" applyFill="1" applyBorder="1" applyAlignment="1" applyProtection="1">
      <alignment horizontal="center" vertical="center"/>
    </xf>
    <xf numFmtId="41" fontId="12" fillId="5" borderId="1" xfId="5" applyNumberFormat="1" applyFont="1" applyFill="1" applyBorder="1" applyAlignment="1" applyProtection="1">
      <alignment horizontal="center" vertical="center"/>
    </xf>
    <xf numFmtId="41" fontId="10" fillId="5" borderId="1" xfId="2" applyNumberFormat="1" applyFont="1" applyFill="1" applyBorder="1" applyAlignment="1" applyProtection="1">
      <alignment horizontal="center" vertical="center"/>
    </xf>
    <xf numFmtId="177" fontId="11" fillId="2" borderId="1" xfId="2" applyNumberFormat="1" applyFont="1" applyFill="1" applyBorder="1" applyAlignment="1" applyProtection="1">
      <alignment horizontal="right" vertical="center"/>
    </xf>
    <xf numFmtId="41" fontId="10" fillId="0" borderId="1" xfId="5" applyNumberFormat="1" applyFont="1" applyFill="1" applyBorder="1" applyAlignment="1" applyProtection="1">
      <alignment horizontal="center" vertical="center"/>
    </xf>
    <xf numFmtId="0" fontId="12" fillId="2" borderId="1" xfId="2" applyNumberFormat="1" applyFont="1" applyFill="1" applyBorder="1" applyAlignment="1" applyProtection="1">
      <alignment horizontal="center" vertical="center"/>
    </xf>
    <xf numFmtId="41" fontId="12" fillId="2" borderId="1" xfId="5" applyNumberFormat="1" applyFont="1" applyFill="1" applyBorder="1" applyAlignment="1" applyProtection="1">
      <alignment horizontal="center" vertical="center"/>
    </xf>
    <xf numFmtId="41" fontId="10" fillId="2" borderId="1" xfId="2" applyNumberFormat="1" applyFont="1" applyFill="1" applyBorder="1" applyAlignment="1" applyProtection="1">
      <alignment horizontal="center" vertical="center"/>
    </xf>
    <xf numFmtId="0" fontId="11" fillId="2" borderId="1" xfId="2" applyNumberFormat="1" applyFont="1" applyFill="1" applyBorder="1" applyAlignment="1" applyProtection="1">
      <alignment horizontal="center" vertical="center"/>
    </xf>
    <xf numFmtId="0" fontId="12" fillId="0" borderId="1" xfId="2" applyNumberFormat="1" applyFont="1" applyFill="1" applyBorder="1" applyAlignment="1" applyProtection="1">
      <alignment horizontal="center" vertical="center"/>
    </xf>
    <xf numFmtId="41" fontId="12" fillId="0" borderId="1" xfId="5" applyNumberFormat="1" applyFont="1" applyFill="1" applyBorder="1" applyAlignment="1" applyProtection="1">
      <alignment horizontal="center" vertical="center"/>
    </xf>
    <xf numFmtId="41" fontId="10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right" vertical="center" wrapText="1"/>
    </xf>
    <xf numFmtId="0" fontId="13" fillId="0" borderId="1" xfId="2" applyNumberFormat="1" applyFont="1" applyFill="1" applyBorder="1" applyAlignment="1" applyProtection="1">
      <alignment horizontal="left" vertical="center" wrapText="1"/>
    </xf>
    <xf numFmtId="0" fontId="2" fillId="6" borderId="1" xfId="2" applyNumberFormat="1" applyFont="1" applyFill="1" applyBorder="1" applyAlignment="1" applyProtection="1">
      <alignment horizontal="center" vertical="center"/>
    </xf>
    <xf numFmtId="0" fontId="10" fillId="6" borderId="1" xfId="2" applyNumberFormat="1" applyFont="1" applyFill="1" applyBorder="1" applyAlignment="1" applyProtection="1">
      <alignment horizontal="center" vertical="center"/>
    </xf>
    <xf numFmtId="0" fontId="10" fillId="6" borderId="1" xfId="2" applyNumberFormat="1" applyFont="1" applyFill="1" applyBorder="1" applyAlignment="1" applyProtection="1">
      <alignment horizontal="center" vertical="center" wrapText="1"/>
    </xf>
    <xf numFmtId="41" fontId="10" fillId="6" borderId="1" xfId="5" applyNumberFormat="1" applyFont="1" applyFill="1" applyBorder="1" applyAlignment="1" applyProtection="1">
      <alignment horizontal="center" vertical="center"/>
    </xf>
    <xf numFmtId="0" fontId="10" fillId="2" borderId="3" xfId="2" applyNumberFormat="1" applyFont="1" applyFill="1" applyBorder="1" applyAlignment="1">
      <alignment horizontal="center" vertical="center"/>
    </xf>
    <xf numFmtId="0" fontId="11" fillId="2" borderId="3" xfId="2" applyNumberFormat="1" applyFont="1" applyFill="1" applyBorder="1" applyAlignment="1">
      <alignment horizontal="left" vertical="center"/>
    </xf>
    <xf numFmtId="0" fontId="4" fillId="2" borderId="3" xfId="2" applyNumberFormat="1" applyFont="1" applyFill="1" applyBorder="1" applyAlignment="1">
      <alignment horizontal="center" vertical="center"/>
    </xf>
    <xf numFmtId="0" fontId="11" fillId="2" borderId="3" xfId="2" applyNumberFormat="1" applyFont="1" applyFill="1" applyBorder="1" applyAlignment="1">
      <alignment horizontal="center" vertical="center"/>
    </xf>
    <xf numFmtId="41" fontId="11" fillId="2" borderId="3" xfId="5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left" vertical="center"/>
    </xf>
    <xf numFmtId="41" fontId="11" fillId="2" borderId="0" xfId="5" applyNumberFormat="1" applyFont="1" applyFill="1">
      <alignment vertical="center"/>
    </xf>
    <xf numFmtId="0" fontId="10" fillId="0" borderId="1" xfId="3" applyNumberFormat="1" applyFont="1" applyFill="1" applyBorder="1">
      <alignment vertical="center"/>
    </xf>
    <xf numFmtId="0" fontId="10" fillId="0" borderId="1" xfId="3" applyNumberFormat="1" applyFont="1" applyFill="1" applyBorder="1" applyAlignment="1">
      <alignment horizontal="left" vertical="center"/>
    </xf>
    <xf numFmtId="41" fontId="10" fillId="4" borderId="1" xfId="3" applyNumberFormat="1" applyFont="1" applyFill="1" applyBorder="1">
      <alignment vertical="center"/>
    </xf>
    <xf numFmtId="0" fontId="12" fillId="2" borderId="1" xfId="4" applyNumberFormat="1" applyFont="1" applyFill="1" applyBorder="1" applyAlignment="1">
      <alignment horizontal="center" vertical="center"/>
    </xf>
    <xf numFmtId="0" fontId="12" fillId="2" borderId="4" xfId="4" applyNumberFormat="1" applyFont="1" applyFill="1" applyBorder="1" applyAlignment="1">
      <alignment horizontal="left" vertical="center"/>
    </xf>
    <xf numFmtId="41" fontId="10" fillId="5" borderId="1" xfId="4" applyNumberFormat="1" applyFont="1" applyFill="1" applyBorder="1" applyAlignment="1">
      <alignment horizontal="center" vertical="center"/>
    </xf>
    <xf numFmtId="0" fontId="12" fillId="2" borderId="1" xfId="4" applyNumberFormat="1" applyFont="1" applyFill="1" applyBorder="1" applyAlignment="1">
      <alignment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2" fillId="2" borderId="1" xfId="5" applyNumberFormat="1" applyFont="1" applyFill="1" applyBorder="1" applyAlignment="1">
      <alignment horizontal="center" vertical="center"/>
    </xf>
    <xf numFmtId="0" fontId="12" fillId="2" borderId="1" xfId="4" applyNumberFormat="1" applyFont="1" applyFill="1" applyBorder="1" applyAlignment="1">
      <alignment horizontal="left" vertical="center"/>
    </xf>
    <xf numFmtId="0" fontId="12" fillId="2" borderId="1" xfId="4" applyNumberFormat="1" applyFont="1" applyFill="1" applyBorder="1" applyAlignment="1">
      <alignment horizontal="left" vertical="center" wrapText="1"/>
    </xf>
    <xf numFmtId="0" fontId="10" fillId="6" borderId="1" xfId="4" applyNumberFormat="1" applyFont="1" applyFill="1" applyBorder="1" applyAlignment="1">
      <alignment horizontal="center" vertical="center"/>
    </xf>
    <xf numFmtId="0" fontId="10" fillId="6" borderId="4" xfId="4" applyNumberFormat="1" applyFont="1" applyFill="1" applyBorder="1" applyAlignment="1">
      <alignment horizontal="center" vertical="center"/>
    </xf>
    <xf numFmtId="41" fontId="10" fillId="6" borderId="1" xfId="5" applyNumberFormat="1" applyFont="1" applyFill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12" fillId="0" borderId="4" xfId="4" applyNumberFormat="1" applyFont="1" applyFill="1" applyBorder="1" applyAlignment="1">
      <alignment horizontal="center" vertical="center"/>
    </xf>
    <xf numFmtId="41" fontId="4" fillId="0" borderId="0" xfId="5" applyNumberFormat="1" applyFont="1">
      <alignment vertical="center"/>
    </xf>
    <xf numFmtId="0" fontId="4" fillId="0" borderId="0" xfId="3" applyNumberFormat="1" applyFont="1" applyAlignment="1">
      <alignment horizontal="left" vertical="center"/>
    </xf>
    <xf numFmtId="0" fontId="4" fillId="0" borderId="0" xfId="3" applyNumberFormat="1" applyFont="1" applyAlignment="1">
      <alignment horizontal="center" vertical="center"/>
    </xf>
    <xf numFmtId="0" fontId="10" fillId="0" borderId="1" xfId="3" applyNumberFormat="1" applyFont="1" applyBorder="1" applyAlignment="1">
      <alignment horizontal="left" vertical="center" wrapText="1"/>
    </xf>
    <xf numFmtId="41" fontId="4" fillId="0" borderId="2" xfId="5" applyNumberFormat="1" applyFont="1" applyBorder="1" applyAlignment="1">
      <alignment horizontal="center" vertical="center"/>
    </xf>
    <xf numFmtId="41" fontId="4" fillId="0" borderId="2" xfId="3" applyNumberFormat="1" applyFont="1" applyFill="1" applyBorder="1" applyAlignment="1" applyProtection="1">
      <alignment vertical="center"/>
    </xf>
    <xf numFmtId="0" fontId="4" fillId="2" borderId="5" xfId="3" applyNumberFormat="1" applyFont="1" applyFill="1" applyBorder="1" applyAlignment="1">
      <alignment horizontal="center" vertical="center"/>
    </xf>
    <xf numFmtId="0" fontId="10" fillId="0" borderId="1" xfId="3" applyNumberFormat="1" applyFont="1" applyBorder="1" applyAlignment="1">
      <alignment horizontal="left" vertical="center"/>
    </xf>
    <xf numFmtId="0" fontId="4" fillId="2" borderId="6" xfId="3" applyNumberFormat="1" applyFont="1" applyFill="1" applyBorder="1" applyAlignment="1">
      <alignment horizontal="center" vertical="center"/>
    </xf>
    <xf numFmtId="41" fontId="4" fillId="0" borderId="7" xfId="5" applyNumberFormat="1" applyFont="1" applyBorder="1" applyAlignment="1">
      <alignment vertical="center"/>
    </xf>
    <xf numFmtId="0" fontId="4" fillId="2" borderId="1" xfId="3" applyNumberFormat="1" applyFont="1" applyFill="1" applyBorder="1" applyAlignment="1">
      <alignment horizontal="center" vertical="center"/>
    </xf>
    <xf numFmtId="0" fontId="1" fillId="0" borderId="1" xfId="3" applyNumberFormat="1" applyFont="1" applyFill="1" applyBorder="1" applyAlignment="1" applyProtection="1">
      <alignment horizontal="left" vertical="center"/>
    </xf>
    <xf numFmtId="41" fontId="4" fillId="0" borderId="1" xfId="3" applyNumberFormat="1" applyFont="1" applyFill="1" applyBorder="1" applyAlignment="1" applyProtection="1">
      <alignment vertical="center"/>
    </xf>
    <xf numFmtId="0" fontId="10" fillId="0" borderId="1" xfId="3" applyNumberFormat="1" applyFont="1" applyFill="1" applyBorder="1" applyAlignment="1" applyProtection="1">
      <alignment horizontal="left" vertical="center" wrapText="1"/>
    </xf>
    <xf numFmtId="41" fontId="4" fillId="0" borderId="1" xfId="5" applyNumberFormat="1" applyFont="1" applyFill="1" applyBorder="1" applyAlignment="1" applyProtection="1">
      <alignment horizontal="center" vertical="center"/>
    </xf>
    <xf numFmtId="41" fontId="4" fillId="0" borderId="2" xfId="5" applyNumberFormat="1" applyFont="1" applyBorder="1" applyAlignment="1">
      <alignment vertical="center"/>
    </xf>
    <xf numFmtId="0" fontId="10" fillId="0" borderId="5" xfId="3" applyNumberFormat="1" applyFont="1" applyFill="1" applyBorder="1" applyAlignment="1">
      <alignment horizontal="left" vertical="center" wrapText="1"/>
    </xf>
    <xf numFmtId="41" fontId="4" fillId="0" borderId="5" xfId="5" applyNumberFormat="1" applyFont="1" applyBorder="1" applyAlignment="1">
      <alignment vertical="center"/>
    </xf>
    <xf numFmtId="0" fontId="2" fillId="0" borderId="8" xfId="3" applyNumberFormat="1" applyFont="1" applyFill="1" applyBorder="1" applyAlignment="1" applyProtection="1">
      <alignment horizontal="center" vertical="center"/>
    </xf>
    <xf numFmtId="41" fontId="2" fillId="0" borderId="8" xfId="5" applyNumberFormat="1" applyFont="1" applyFill="1" applyBorder="1" applyAlignment="1" applyProtection="1">
      <alignment horizontal="center" vertical="center"/>
    </xf>
    <xf numFmtId="0" fontId="2" fillId="0" borderId="9" xfId="3" applyNumberFormat="1" applyFont="1" applyFill="1" applyBorder="1" applyAlignment="1" applyProtection="1">
      <alignment horizontal="center" vertical="center"/>
    </xf>
    <xf numFmtId="0" fontId="2" fillId="0" borderId="0" xfId="3" applyNumberFormat="1" applyFont="1" applyAlignment="1">
      <alignment horizontal="right" vertical="center"/>
    </xf>
    <xf numFmtId="0" fontId="2" fillId="0" borderId="0" xfId="3" applyNumberFormat="1" applyFont="1" applyBorder="1" applyAlignment="1">
      <alignment horizontal="center" vertical="center"/>
    </xf>
    <xf numFmtId="41" fontId="2" fillId="0" borderId="3" xfId="3" applyNumberFormat="1" applyFont="1" applyBorder="1" applyAlignment="1">
      <alignment horizontal="center" vertical="center"/>
    </xf>
    <xf numFmtId="41" fontId="2" fillId="0" borderId="3" xfId="5" applyNumberFormat="1" applyFont="1" applyBorder="1" applyAlignment="1">
      <alignment horizontal="center" vertical="center"/>
    </xf>
    <xf numFmtId="0" fontId="2" fillId="0" borderId="0" xfId="3" applyNumberFormat="1" applyFont="1" applyAlignment="1">
      <alignment horizontal="center" vertical="center"/>
    </xf>
    <xf numFmtId="0" fontId="9" fillId="0" borderId="3" xfId="3" applyNumberFormat="1" applyFont="1" applyBorder="1" applyAlignment="1">
      <alignment horizontal="left" vertical="center"/>
    </xf>
    <xf numFmtId="0" fontId="3" fillId="2" borderId="0" xfId="3" applyNumberFormat="1" applyFont="1" applyFill="1" applyAlignment="1">
      <alignment horizontal="center" vertical="center"/>
    </xf>
    <xf numFmtId="41" fontId="3" fillId="2" borderId="0" xfId="5" applyNumberFormat="1" applyFont="1" applyFill="1" applyAlignment="1">
      <alignment horizontal="center" vertical="center"/>
    </xf>
    <xf numFmtId="0" fontId="5" fillId="0" borderId="1" xfId="3" applyNumberFormat="1" applyFont="1" applyBorder="1" applyAlignment="1">
      <alignment horizontal="left" vertical="center"/>
    </xf>
    <xf numFmtId="41" fontId="4" fillId="2" borderId="5" xfId="5" applyNumberFormat="1" applyFont="1" applyFill="1" applyBorder="1" applyAlignment="1" applyProtection="1">
      <alignment horizontal="center" vertical="center"/>
    </xf>
    <xf numFmtId="41" fontId="4" fillId="2" borderId="5" xfId="5" applyNumberFormat="1" applyFont="1" applyFill="1" applyBorder="1" applyAlignment="1">
      <alignment horizontal="left" vertical="center"/>
    </xf>
    <xf numFmtId="0" fontId="5" fillId="0" borderId="7" xfId="3" applyNumberFormat="1" applyFont="1" applyBorder="1" applyAlignment="1">
      <alignment horizontal="left" vertical="center" wrapText="1"/>
    </xf>
    <xf numFmtId="41" fontId="4" fillId="2" borderId="1" xfId="5" applyNumberFormat="1" applyFont="1" applyFill="1" applyBorder="1" applyAlignment="1">
      <alignment horizontal="left" vertical="center"/>
    </xf>
    <xf numFmtId="0" fontId="5" fillId="0" borderId="1" xfId="3" applyNumberFormat="1" applyFont="1" applyFill="1" applyBorder="1" applyAlignment="1" applyProtection="1">
      <alignment horizontal="left" vertical="center" wrapText="1"/>
    </xf>
    <xf numFmtId="0" fontId="4" fillId="2" borderId="6" xfId="3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 applyProtection="1">
      <alignment horizontal="center" vertical="center"/>
    </xf>
    <xf numFmtId="0" fontId="4" fillId="0" borderId="0" xfId="3" applyNumberFormat="1" applyFont="1" applyBorder="1" applyAlignment="1">
      <alignment horizontal="center" vertical="center"/>
    </xf>
    <xf numFmtId="0" fontId="4" fillId="0" borderId="6" xfId="3" applyNumberFormat="1" applyFont="1" applyBorder="1" applyAlignment="1">
      <alignment horizontal="center" vertical="center"/>
    </xf>
    <xf numFmtId="0" fontId="5" fillId="0" borderId="7" xfId="3" applyNumberFormat="1" applyFont="1" applyBorder="1" applyAlignment="1">
      <alignment horizontal="left" vertical="center"/>
    </xf>
    <xf numFmtId="0" fontId="4" fillId="0" borderId="1" xfId="3" applyNumberFormat="1" applyFont="1" applyBorder="1" applyAlignment="1">
      <alignment horizontal="center" vertical="center"/>
    </xf>
    <xf numFmtId="0" fontId="4" fillId="0" borderId="6" xfId="3" applyNumberFormat="1" applyFont="1" applyFill="1" applyBorder="1" applyAlignment="1" applyProtection="1">
      <alignment horizontal="center" vertical="center"/>
    </xf>
    <xf numFmtId="41" fontId="4" fillId="0" borderId="5" xfId="3" applyNumberFormat="1" applyFont="1" applyFill="1" applyBorder="1" applyAlignment="1" applyProtection="1">
      <alignment vertical="center"/>
    </xf>
    <xf numFmtId="0" fontId="4" fillId="2" borderId="6" xfId="3" applyNumberFormat="1" applyFont="1" applyFill="1" applyBorder="1" applyAlignment="1" applyProtection="1">
      <alignment horizontal="center" vertical="center"/>
    </xf>
    <xf numFmtId="0" fontId="5" fillId="0" borderId="10" xfId="3" applyNumberFormat="1" applyFont="1" applyBorder="1" applyAlignment="1">
      <alignment horizontal="left" vertical="center" wrapText="1"/>
    </xf>
    <xf numFmtId="41" fontId="4" fillId="2" borderId="1" xfId="5" applyNumberFormat="1" applyFont="1" applyFill="1" applyBorder="1" applyAlignment="1" applyProtection="1">
      <alignment horizontal="left" vertical="center"/>
    </xf>
    <xf numFmtId="41" fontId="4" fillId="2" borderId="5" xfId="5" applyNumberFormat="1" applyFont="1" applyFill="1" applyBorder="1" applyAlignment="1" applyProtection="1">
      <alignment horizontal="left" vertical="center"/>
    </xf>
    <xf numFmtId="41" fontId="4" fillId="2" borderId="7" xfId="5" applyNumberFormat="1" applyFont="1" applyFill="1" applyBorder="1" applyAlignment="1">
      <alignment horizontal="center" vertical="center"/>
    </xf>
    <xf numFmtId="41" fontId="4" fillId="2" borderId="5" xfId="5" applyNumberFormat="1" applyFont="1" applyFill="1" applyBorder="1" applyAlignment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3" xfId="3" applyNumberFormat="1" applyFont="1" applyBorder="1" applyAlignment="1">
      <alignment horizontal="center" vertical="center"/>
    </xf>
    <xf numFmtId="41" fontId="4" fillId="0" borderId="3" xfId="5" applyNumberFormat="1" applyFont="1" applyBorder="1" applyAlignment="1">
      <alignment horizontal="center" vertical="center"/>
    </xf>
    <xf numFmtId="0" fontId="4" fillId="0" borderId="3" xfId="3" applyNumberFormat="1" applyFont="1" applyBorder="1" applyAlignment="1">
      <alignment horizontal="center" vertical="center"/>
    </xf>
    <xf numFmtId="0" fontId="3" fillId="2" borderId="0" xfId="3" applyNumberFormat="1" applyFont="1" applyFill="1" applyAlignment="1">
      <alignment horizontal="left" vertical="center"/>
    </xf>
    <xf numFmtId="41" fontId="3" fillId="2" borderId="0" xfId="3" applyNumberFormat="1" applyFont="1" applyFill="1" applyAlignment="1">
      <alignment horizontal="center" vertical="center"/>
    </xf>
    <xf numFmtId="41" fontId="14" fillId="5" borderId="1" xfId="2" applyNumberFormat="1" applyFont="1" applyFill="1" applyBorder="1" applyAlignment="1" applyProtection="1">
      <alignment horizontal="right" vertical="center" wrapText="1"/>
    </xf>
    <xf numFmtId="0" fontId="13" fillId="5" borderId="1" xfId="2" applyNumberFormat="1" applyFont="1" applyFill="1" applyBorder="1" applyAlignment="1" applyProtection="1">
      <alignment horizontal="left" vertical="center" wrapText="1"/>
    </xf>
    <xf numFmtId="0" fontId="5" fillId="0" borderId="1" xfId="3" applyNumberFormat="1" applyFont="1" applyBorder="1" applyAlignment="1">
      <alignment horizontal="left" vertical="center" wrapText="1"/>
    </xf>
    <xf numFmtId="0" fontId="4" fillId="2" borderId="1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5" xfId="3" applyNumberFormat="1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center" vertical="center" wrapText="1"/>
    </xf>
    <xf numFmtId="0" fontId="5" fillId="0" borderId="10" xfId="3" applyNumberFormat="1" applyFont="1" applyBorder="1" applyAlignment="1">
      <alignment horizontal="left" vertical="center"/>
    </xf>
    <xf numFmtId="0" fontId="5" fillId="0" borderId="1" xfId="2" applyNumberFormat="1" applyFont="1" applyBorder="1" applyAlignment="1">
      <alignment horizontal="left" vertical="center" wrapText="1"/>
    </xf>
    <xf numFmtId="0" fontId="4" fillId="2" borderId="1" xfId="3" applyNumberFormat="1" applyFont="1" applyFill="1" applyBorder="1" applyAlignment="1">
      <alignment vertical="center"/>
    </xf>
    <xf numFmtId="41" fontId="4" fillId="2" borderId="0" xfId="3" applyNumberFormat="1" applyFont="1" applyFill="1" applyAlignment="1">
      <alignment horizontal="center" vertical="center"/>
    </xf>
    <xf numFmtId="0" fontId="15" fillId="0" borderId="0" xfId="3" applyNumberFormat="1" applyFont="1" applyBorder="1">
      <alignment vertical="center"/>
    </xf>
    <xf numFmtId="176" fontId="8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Fill="1">
      <alignment vertical="center"/>
    </xf>
    <xf numFmtId="0" fontId="11" fillId="0" borderId="0" xfId="0" applyNumberFormat="1" applyFont="1" applyFill="1" applyAlignment="1">
      <alignment horizontal="center" vertical="center"/>
    </xf>
    <xf numFmtId="0" fontId="13" fillId="0" borderId="0" xfId="0" applyNumberFormat="1" applyFont="1" applyFill="1" applyAlignment="1">
      <alignment horizontal="right" vertical="center"/>
    </xf>
    <xf numFmtId="41" fontId="13" fillId="0" borderId="0" xfId="5" applyNumberFormat="1" applyFont="1" applyFill="1" applyAlignment="1">
      <alignment horizontal="right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41" fontId="11" fillId="0" borderId="0" xfId="0" applyNumberFormat="1" applyFont="1">
      <alignment vertical="center"/>
    </xf>
    <xf numFmtId="41" fontId="11" fillId="0" borderId="1" xfId="0" applyNumberFormat="1" applyFont="1" applyFill="1" applyBorder="1" applyAlignment="1" applyProtection="1">
      <alignment vertical="center"/>
    </xf>
    <xf numFmtId="41" fontId="7" fillId="0" borderId="12" xfId="5" applyNumberFormat="1" applyFont="1" applyFill="1" applyBorder="1" applyAlignment="1" applyProtection="1">
      <alignment horizontal="center" vertical="center"/>
    </xf>
    <xf numFmtId="41" fontId="7" fillId="0" borderId="9" xfId="5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41" fontId="7" fillId="0" borderId="9" xfId="0" applyNumberFormat="1" applyFont="1" applyFill="1" applyBorder="1" applyAlignment="1" applyProtection="1">
      <alignment horizontal="center" vertical="center"/>
    </xf>
    <xf numFmtId="177" fontId="7" fillId="0" borderId="5" xfId="5" applyNumberFormat="1" applyFont="1" applyFill="1" applyBorder="1" applyAlignment="1" applyProtection="1">
      <alignment horizontal="right" vertical="center"/>
    </xf>
    <xf numFmtId="41" fontId="7" fillId="0" borderId="5" xfId="5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Alignment="1">
      <alignment horizontal="center" vertical="center"/>
    </xf>
    <xf numFmtId="41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7" fillId="0" borderId="13" xfId="5" applyNumberFormat="1" applyFont="1" applyFill="1" applyBorder="1" applyAlignment="1" applyProtection="1">
      <alignment horizontal="center" vertical="center"/>
    </xf>
    <xf numFmtId="0" fontId="10" fillId="0" borderId="0" xfId="4" applyNumberFormat="1" applyFont="1" applyFill="1" applyBorder="1" applyAlignment="1">
      <alignment horizontal="center" vertical="center"/>
    </xf>
    <xf numFmtId="0" fontId="12" fillId="0" borderId="0" xfId="4" applyNumberFormat="1" applyFont="1" applyFill="1" applyBorder="1" applyAlignment="1">
      <alignment horizontal="center" vertical="center"/>
    </xf>
    <xf numFmtId="41" fontId="10" fillId="2" borderId="0" xfId="4" applyNumberFormat="1" applyFont="1" applyFill="1" applyBorder="1" applyAlignment="1">
      <alignment horizontal="center" vertical="center"/>
    </xf>
    <xf numFmtId="0" fontId="15" fillId="0" borderId="0" xfId="3" applyNumberFormat="1" applyFont="1" applyBorder="1" applyAlignment="1">
      <alignment vertical="center"/>
    </xf>
    <xf numFmtId="0" fontId="4" fillId="2" borderId="5" xfId="3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>
      <alignment horizontal="left" vertical="center"/>
    </xf>
    <xf numFmtId="0" fontId="16" fillId="0" borderId="0" xfId="0" applyNumberFormat="1" applyFont="1">
      <alignment vertical="center"/>
    </xf>
    <xf numFmtId="41" fontId="8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 applyProtection="1">
      <alignment horizontal="center" vertical="center"/>
    </xf>
    <xf numFmtId="41" fontId="8" fillId="2" borderId="1" xfId="1" applyNumberFormat="1" applyFont="1" applyFill="1" applyBorder="1" applyAlignment="1" applyProtection="1">
      <alignment horizontal="center" vertical="center"/>
    </xf>
    <xf numFmtId="41" fontId="8" fillId="0" borderId="1" xfId="1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41" fontId="10" fillId="2" borderId="1" xfId="2" applyNumberFormat="1" applyFont="1" applyFill="1" applyBorder="1" applyAlignment="1" applyProtection="1">
      <alignment horizontal="right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center" vertical="center" wrapText="1"/>
    </xf>
    <xf numFmtId="176" fontId="8" fillId="0" borderId="5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41" fontId="28" fillId="2" borderId="5" xfId="5" applyNumberFormat="1" applyFont="1" applyFill="1" applyBorder="1" applyAlignment="1">
      <alignment horizontal="left" vertical="center"/>
    </xf>
    <xf numFmtId="41" fontId="16" fillId="0" borderId="1" xfId="1" applyNumberFormat="1" applyFont="1" applyBorder="1">
      <alignment vertical="center"/>
    </xf>
    <xf numFmtId="41" fontId="32" fillId="2" borderId="5" xfId="5" applyNumberFormat="1" applyFont="1" applyFill="1" applyBorder="1" applyAlignment="1">
      <alignment horizontal="left" vertical="center"/>
    </xf>
    <xf numFmtId="0" fontId="28" fillId="0" borderId="0" xfId="3" applyNumberFormat="1" applyFont="1">
      <alignment vertical="center"/>
    </xf>
    <xf numFmtId="0" fontId="11" fillId="2" borderId="1" xfId="3" applyNumberFormat="1" applyFont="1" applyFill="1" applyBorder="1">
      <alignment vertical="center"/>
    </xf>
    <xf numFmtId="41" fontId="4" fillId="2" borderId="1" xfId="3" applyNumberFormat="1" applyFont="1" applyFill="1" applyBorder="1">
      <alignment vertical="center"/>
    </xf>
    <xf numFmtId="0" fontId="12" fillId="7" borderId="1" xfId="4" applyNumberFormat="1" applyFont="1" applyFill="1" applyBorder="1" applyAlignment="1">
      <alignment horizontal="center" vertical="center"/>
    </xf>
    <xf numFmtId="41" fontId="12" fillId="7" borderId="1" xfId="5" applyNumberFormat="1" applyFont="1" applyFill="1" applyBorder="1" applyAlignment="1">
      <alignment horizontal="center" vertical="center"/>
    </xf>
    <xf numFmtId="41" fontId="10" fillId="7" borderId="1" xfId="5" applyNumberFormat="1" applyFont="1" applyFill="1" applyBorder="1" applyAlignment="1">
      <alignment horizontal="center" vertical="center"/>
    </xf>
    <xf numFmtId="0" fontId="12" fillId="7" borderId="1" xfId="4" applyNumberFormat="1" applyFont="1" applyFill="1" applyBorder="1" applyAlignment="1">
      <alignment horizontal="left" vertical="center"/>
    </xf>
    <xf numFmtId="41" fontId="4" fillId="0" borderId="0" xfId="3" applyNumberFormat="1" applyFont="1">
      <alignment vertical="center"/>
    </xf>
    <xf numFmtId="0" fontId="14" fillId="0" borderId="1" xfId="3" applyNumberFormat="1" applyFont="1" applyFill="1" applyBorder="1" applyAlignment="1" applyProtection="1">
      <alignment horizontal="left" vertical="center" wrapText="1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41" fontId="4" fillId="0" borderId="1" xfId="5" applyNumberFormat="1" applyFont="1" applyFill="1" applyBorder="1" applyAlignment="1" applyProtection="1">
      <alignment horizontal="center" vertical="center"/>
    </xf>
    <xf numFmtId="0" fontId="4" fillId="0" borderId="0" xfId="3" applyNumberFormat="1" applyFont="1" applyAlignment="1">
      <alignment horizontal="center" vertical="center" wrapText="1"/>
    </xf>
    <xf numFmtId="0" fontId="4" fillId="0" borderId="0" xfId="3" applyNumberFormat="1" applyFont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0" borderId="15" xfId="3" applyNumberFormat="1" applyFont="1" applyBorder="1" applyAlignment="1">
      <alignment horizontal="center" vertical="center"/>
    </xf>
    <xf numFmtId="0" fontId="4" fillId="0" borderId="3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3" fillId="2" borderId="0" xfId="3" applyNumberFormat="1" applyFont="1" applyFill="1" applyAlignment="1">
      <alignment horizontal="center" vertical="center"/>
    </xf>
    <xf numFmtId="41" fontId="2" fillId="0" borderId="1" xfId="5" applyNumberFormat="1" applyFont="1" applyFill="1" applyBorder="1" applyAlignment="1" applyProtection="1">
      <alignment horizontal="center" vertical="center" wrapText="1"/>
    </xf>
    <xf numFmtId="0" fontId="1" fillId="0" borderId="1" xfId="3" applyNumberFormat="1" applyFont="1" applyFill="1" applyBorder="1" applyAlignment="1" applyProtection="1">
      <alignment horizontal="center" vertical="center"/>
    </xf>
    <xf numFmtId="0" fontId="1" fillId="0" borderId="6" xfId="3" applyNumberFormat="1" applyFont="1" applyFill="1" applyBorder="1" applyAlignment="1" applyProtection="1">
      <alignment horizontal="center" vertical="center"/>
    </xf>
    <xf numFmtId="0" fontId="1" fillId="0" borderId="5" xfId="3" applyNumberFormat="1" applyFont="1" applyFill="1" applyBorder="1" applyAlignment="1" applyProtection="1">
      <alignment horizontal="center" vertical="center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4" xfId="3" applyNumberFormat="1" applyFont="1" applyFill="1" applyBorder="1" applyAlignment="1" applyProtection="1">
      <alignment horizontal="center" vertical="center"/>
    </xf>
    <xf numFmtId="0" fontId="2" fillId="0" borderId="7" xfId="3" applyNumberFormat="1" applyFont="1" applyFill="1" applyBorder="1" applyAlignment="1" applyProtection="1">
      <alignment horizontal="center" vertical="center"/>
    </xf>
    <xf numFmtId="0" fontId="2" fillId="0" borderId="11" xfId="3" applyNumberFormat="1" applyFont="1" applyFill="1" applyBorder="1" applyAlignment="1" applyProtection="1">
      <alignment horizontal="center" vertical="center"/>
    </xf>
    <xf numFmtId="0" fontId="2" fillId="0" borderId="8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4" fillId="0" borderId="4" xfId="3" applyNumberFormat="1" applyFont="1" applyFill="1" applyBorder="1" applyAlignment="1" applyProtection="1">
      <alignment horizontal="center" vertical="center" wrapText="1"/>
    </xf>
    <xf numFmtId="0" fontId="4" fillId="2" borderId="11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 applyProtection="1">
      <alignment horizontal="center" vertical="center"/>
    </xf>
    <xf numFmtId="0" fontId="4" fillId="0" borderId="14" xfId="3" applyNumberFormat="1" applyFont="1" applyFill="1" applyBorder="1" applyAlignment="1" applyProtection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41" fontId="4" fillId="0" borderId="1" xfId="5" applyNumberFormat="1" applyFont="1" applyFill="1" applyBorder="1" applyAlignment="1" applyProtection="1">
      <alignment horizontal="center" vertical="center"/>
    </xf>
    <xf numFmtId="0" fontId="4" fillId="0" borderId="1" xfId="3" applyNumberFormat="1" applyFont="1" applyFill="1" applyBorder="1" applyAlignment="1" applyProtection="1">
      <alignment vertical="center"/>
    </xf>
    <xf numFmtId="0" fontId="4" fillId="0" borderId="11" xfId="3" applyNumberFormat="1" applyFont="1" applyFill="1" applyBorder="1" applyAlignment="1" applyProtection="1">
      <alignment horizontal="center" vertical="center"/>
    </xf>
    <xf numFmtId="0" fontId="4" fillId="0" borderId="8" xfId="3" applyNumberFormat="1" applyFont="1" applyFill="1" applyBorder="1" applyAlignment="1" applyProtection="1">
      <alignment horizontal="center" vertical="center"/>
    </xf>
    <xf numFmtId="41" fontId="19" fillId="2" borderId="11" xfId="1" applyNumberFormat="1" applyFont="1" applyFill="1" applyBorder="1" applyAlignment="1" applyProtection="1">
      <alignment horizontal="center" vertical="center"/>
      <protection locked="0"/>
    </xf>
    <xf numFmtId="41" fontId="19" fillId="2" borderId="5" xfId="1" applyNumberFormat="1" applyFont="1" applyFill="1" applyBorder="1" applyAlignment="1" applyProtection="1">
      <alignment horizontal="center" vertical="center"/>
      <protection locked="0"/>
    </xf>
    <xf numFmtId="41" fontId="7" fillId="0" borderId="11" xfId="1" applyNumberFormat="1" applyFont="1" applyFill="1" applyBorder="1" applyAlignment="1" applyProtection="1">
      <alignment horizontal="center" vertical="center"/>
      <protection locked="0"/>
    </xf>
    <xf numFmtId="41" fontId="7" fillId="0" borderId="5" xfId="1" applyNumberFormat="1" applyFont="1" applyFill="1" applyBorder="1" applyAlignment="1" applyProtection="1">
      <alignment horizontal="center" vertical="center"/>
      <protection locked="0"/>
    </xf>
    <xf numFmtId="41" fontId="7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7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7" fillId="0" borderId="4" xfId="1" applyNumberFormat="1" applyFont="1" applyFill="1" applyBorder="1" applyAlignment="1" applyProtection="1">
      <alignment horizontal="center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  <protection locked="0"/>
    </xf>
    <xf numFmtId="41" fontId="7" fillId="0" borderId="7" xfId="1" applyNumberFormat="1" applyFont="1" applyFill="1" applyBorder="1" applyAlignment="1" applyProtection="1">
      <alignment horizontal="center" vertical="center"/>
      <protection locked="0"/>
    </xf>
    <xf numFmtId="41" fontId="7" fillId="2" borderId="11" xfId="1" applyNumberFormat="1" applyFont="1" applyFill="1" applyBorder="1" applyAlignment="1" applyProtection="1">
      <alignment horizontal="center" vertical="center"/>
      <protection locked="0"/>
    </xf>
    <xf numFmtId="41" fontId="7" fillId="2" borderId="5" xfId="1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41" fontId="7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17" fillId="0" borderId="11" xfId="1" applyNumberFormat="1" applyFont="1" applyFill="1" applyBorder="1" applyAlignment="1" applyProtection="1">
      <alignment horizontal="center" vertical="center"/>
    </xf>
    <xf numFmtId="41" fontId="17" fillId="0" borderId="6" xfId="1" applyNumberFormat="1" applyFont="1" applyFill="1" applyBorder="1" applyAlignment="1" applyProtection="1">
      <alignment horizontal="center" vertical="center"/>
    </xf>
    <xf numFmtId="41" fontId="17" fillId="0" borderId="5" xfId="1" applyNumberFormat="1" applyFont="1" applyFill="1" applyBorder="1" applyAlignment="1" applyProtection="1">
      <alignment horizontal="center" vertical="center"/>
    </xf>
    <xf numFmtId="41" fontId="7" fillId="0" borderId="16" xfId="1" applyNumberFormat="1" applyFont="1" applyFill="1" applyBorder="1" applyAlignment="1" applyProtection="1">
      <alignment horizontal="center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  <protection locked="0"/>
    </xf>
    <xf numFmtId="41" fontId="7" fillId="0" borderId="15" xfId="1" applyNumberFormat="1" applyFont="1" applyFill="1" applyBorder="1" applyAlignment="1" applyProtection="1">
      <alignment horizontal="center" vertical="center"/>
      <protection locked="0"/>
    </xf>
    <xf numFmtId="41" fontId="7" fillId="0" borderId="2" xfId="1" applyNumberFormat="1" applyFont="1" applyFill="1" applyBorder="1" applyAlignment="1" applyProtection="1">
      <alignment horizontal="center" vertical="center"/>
      <protection locked="0"/>
    </xf>
    <xf numFmtId="0" fontId="18" fillId="0" borderId="0" xfId="0" applyNumberFormat="1" applyFont="1" applyFill="1" applyBorder="1" applyAlignment="1" applyProtection="1">
      <alignment horizontal="center" vertical="center"/>
    </xf>
    <xf numFmtId="41" fontId="18" fillId="0" borderId="0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Border="1" applyAlignment="1">
      <alignment horizontal="left" vertical="center"/>
    </xf>
    <xf numFmtId="41" fontId="17" fillId="0" borderId="4" xfId="1" applyNumberFormat="1" applyFont="1" applyFill="1" applyBorder="1" applyAlignment="1" applyProtection="1">
      <alignment horizontal="center" vertical="center"/>
    </xf>
    <xf numFmtId="41" fontId="17" fillId="0" borderId="14" xfId="1" applyNumberFormat="1" applyFont="1" applyFill="1" applyBorder="1" applyAlignment="1" applyProtection="1">
      <alignment horizontal="center" vertical="center"/>
    </xf>
    <xf numFmtId="41" fontId="17" fillId="0" borderId="7" xfId="1" applyNumberFormat="1" applyFont="1" applyFill="1" applyBorder="1" applyAlignment="1" applyProtection="1">
      <alignment horizontal="center" vertical="center"/>
    </xf>
    <xf numFmtId="41" fontId="7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7" fillId="0" borderId="1" xfId="1" applyNumberFormat="1" applyFont="1" applyFill="1" applyBorder="1" applyAlignment="1" applyProtection="1">
      <alignment horizontal="center" vertical="center"/>
      <protection locked="0"/>
    </xf>
    <xf numFmtId="41" fontId="7" fillId="0" borderId="6" xfId="1" applyNumberFormat="1" applyFont="1" applyFill="1" applyBorder="1" applyAlignment="1" applyProtection="1">
      <alignment horizontal="center" vertical="center"/>
      <protection locked="0"/>
    </xf>
    <xf numFmtId="177" fontId="7" fillId="0" borderId="5" xfId="5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>
      <alignment horizontal="left" vertical="center"/>
    </xf>
    <xf numFmtId="0" fontId="9" fillId="2" borderId="0" xfId="3" applyNumberFormat="1" applyFont="1" applyFill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7" xfId="3" applyNumberFormat="1" applyFont="1" applyFill="1" applyBorder="1" applyAlignment="1">
      <alignment horizontal="center" vertical="center"/>
    </xf>
    <xf numFmtId="0" fontId="9" fillId="2" borderId="0" xfId="4" applyNumberFormat="1" applyFont="1" applyFill="1" applyAlignment="1">
      <alignment horizontal="center" vertical="center"/>
    </xf>
    <xf numFmtId="0" fontId="12" fillId="2" borderId="11" xfId="4" applyNumberFormat="1" applyFont="1" applyFill="1" applyBorder="1" applyAlignment="1">
      <alignment horizontal="center" vertical="center"/>
    </xf>
    <xf numFmtId="0" fontId="12" fillId="2" borderId="5" xfId="4" applyNumberFormat="1" applyFont="1" applyFill="1" applyBorder="1" applyAlignment="1">
      <alignment horizontal="center" vertical="center"/>
    </xf>
    <xf numFmtId="0" fontId="10" fillId="2" borderId="17" xfId="3" applyNumberFormat="1" applyFont="1" applyFill="1" applyBorder="1" applyAlignment="1" applyProtection="1">
      <alignment horizontal="left" vertical="center"/>
    </xf>
    <xf numFmtId="0" fontId="10" fillId="0" borderId="1" xfId="3" applyNumberFormat="1" applyFont="1" applyFill="1" applyBorder="1" applyAlignment="1">
      <alignment horizontal="center" vertical="center"/>
    </xf>
    <xf numFmtId="0" fontId="10" fillId="2" borderId="1" xfId="4" applyNumberFormat="1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/>
    </xf>
    <xf numFmtId="41" fontId="9" fillId="2" borderId="0" xfId="5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right" vertical="center" wrapText="1"/>
    </xf>
    <xf numFmtId="0" fontId="10" fillId="2" borderId="1" xfId="2" applyNumberFormat="1" applyFont="1" applyFill="1" applyBorder="1" applyAlignment="1" applyProtection="1">
      <alignment horizontal="right" vertical="center"/>
    </xf>
    <xf numFmtId="0" fontId="10" fillId="5" borderId="1" xfId="2" applyNumberFormat="1" applyFont="1" applyFill="1" applyBorder="1" applyAlignment="1" applyProtection="1">
      <alignment horizontal="center" vertical="center"/>
    </xf>
    <xf numFmtId="0" fontId="10" fillId="4" borderId="1" xfId="2" applyNumberFormat="1" applyFont="1" applyFill="1" applyBorder="1" applyAlignment="1" applyProtection="1">
      <alignment horizontal="center" vertical="center"/>
    </xf>
    <xf numFmtId="0" fontId="13" fillId="2" borderId="1" xfId="2" applyNumberFormat="1" applyFont="1" applyFill="1" applyBorder="1" applyAlignment="1" applyProtection="1">
      <alignment horizontal="center" vertical="center" wrapText="1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0" fillId="6" borderId="1" xfId="2" applyNumberFormat="1" applyFont="1" applyFill="1" applyBorder="1" applyAlignment="1" applyProtection="1">
      <alignment horizontal="center" vertical="center"/>
    </xf>
    <xf numFmtId="0" fontId="11" fillId="2" borderId="1" xfId="3" applyNumberFormat="1" applyFont="1" applyFill="1" applyBorder="1" applyAlignment="1" applyProtection="1">
      <alignment horizontal="left" vertical="center" wrapText="1"/>
    </xf>
    <xf numFmtId="0" fontId="11" fillId="2" borderId="1" xfId="3" applyNumberFormat="1" applyFont="1" applyFill="1" applyBorder="1" applyAlignment="1" applyProtection="1">
      <alignment horizontal="left"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41" fontId="32" fillId="0" borderId="2" xfId="5" applyNumberFormat="1" applyFont="1" applyBorder="1" applyAlignment="1">
      <alignment vertical="center"/>
    </xf>
    <xf numFmtId="41" fontId="2" fillId="0" borderId="9" xfId="5" applyNumberFormat="1" applyFont="1" applyFill="1" applyBorder="1" applyAlignment="1" applyProtection="1">
      <alignment horizontal="center" vertical="center"/>
    </xf>
    <xf numFmtId="0" fontId="31" fillId="0" borderId="7" xfId="3" applyNumberFormat="1" applyFont="1" applyBorder="1" applyAlignment="1">
      <alignment horizontal="left" vertical="center" wrapText="1"/>
    </xf>
    <xf numFmtId="0" fontId="31" fillId="2" borderId="1" xfId="2" applyNumberFormat="1" applyFont="1" applyFill="1" applyBorder="1" applyAlignment="1">
      <alignment horizontal="left" vertical="center" wrapText="1"/>
    </xf>
  </cellXfs>
  <cellStyles count="7"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80833"/>
          <a:ext cx="228600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6"/>
  <sheetViews>
    <sheetView zoomScaleNormal="100" workbookViewId="0">
      <selection activeCell="H6" sqref="H6"/>
    </sheetView>
  </sheetViews>
  <sheetFormatPr defaultColWidth="9" defaultRowHeight="13.5" x14ac:dyDescent="0.3"/>
  <cols>
    <col min="1" max="1" width="15.625" style="32" customWidth="1"/>
    <col min="2" max="3" width="15.625" style="88" customWidth="1"/>
    <col min="4" max="5" width="15.625" style="86" customWidth="1"/>
    <col min="6" max="7" width="15.625" style="32" customWidth="1"/>
    <col min="8" max="8" width="40.75" style="32" customWidth="1"/>
    <col min="9" max="10" width="10" style="32" customWidth="1"/>
    <col min="11" max="11" width="18.875" style="32" customWidth="1"/>
    <col min="12" max="256" width="10" style="32" customWidth="1"/>
    <col min="257" max="16384" width="9" style="27"/>
  </cols>
  <sheetData>
    <row r="1" spans="1:11" ht="25.5" x14ac:dyDescent="0.3">
      <c r="A1" s="215" t="s">
        <v>282</v>
      </c>
      <c r="B1" s="215"/>
      <c r="C1" s="215"/>
      <c r="D1" s="215"/>
      <c r="E1" s="215"/>
      <c r="F1" s="215"/>
      <c r="G1" s="215"/>
      <c r="H1" s="215"/>
    </row>
    <row r="2" spans="1:11" ht="15" customHeight="1" x14ac:dyDescent="0.3">
      <c r="A2" s="113"/>
      <c r="B2" s="113"/>
      <c r="D2" s="114"/>
      <c r="E2" s="114"/>
      <c r="F2" s="113"/>
      <c r="G2" s="113"/>
      <c r="H2" s="113"/>
    </row>
    <row r="3" spans="1:11" ht="18.75" x14ac:dyDescent="0.3">
      <c r="A3" s="112" t="s">
        <v>128</v>
      </c>
      <c r="B3" s="111"/>
      <c r="D3" s="110"/>
      <c r="E3" s="110"/>
      <c r="F3" s="109"/>
      <c r="G3" s="108"/>
      <c r="H3" s="107" t="s">
        <v>215</v>
      </c>
    </row>
    <row r="4" spans="1:11" s="34" customFormat="1" ht="26.1" customHeight="1" x14ac:dyDescent="0.3">
      <c r="A4" s="220" t="s">
        <v>141</v>
      </c>
      <c r="B4" s="220"/>
      <c r="C4" s="220"/>
      <c r="D4" s="216" t="s">
        <v>127</v>
      </c>
      <c r="E4" s="216"/>
      <c r="F4" s="221" t="s">
        <v>39</v>
      </c>
      <c r="G4" s="222"/>
      <c r="H4" s="223" t="s">
        <v>18</v>
      </c>
    </row>
    <row r="5" spans="1:11" s="34" customFormat="1" ht="26.1" customHeight="1" x14ac:dyDescent="0.3">
      <c r="A5" s="106" t="s">
        <v>106</v>
      </c>
      <c r="B5" s="106" t="s">
        <v>123</v>
      </c>
      <c r="C5" s="106" t="s">
        <v>104</v>
      </c>
      <c r="D5" s="105" t="s">
        <v>283</v>
      </c>
      <c r="E5" s="288" t="s">
        <v>284</v>
      </c>
      <c r="F5" s="106" t="s">
        <v>116</v>
      </c>
      <c r="G5" s="104" t="s">
        <v>117</v>
      </c>
      <c r="H5" s="224"/>
    </row>
    <row r="6" spans="1:11" ht="26.1" customHeight="1" x14ac:dyDescent="0.3">
      <c r="A6" s="212" t="s">
        <v>225</v>
      </c>
      <c r="B6" s="213"/>
      <c r="C6" s="214"/>
      <c r="D6" s="103">
        <f>D7+D12+D16+D20+D23</f>
        <v>1643157</v>
      </c>
      <c r="E6" s="103">
        <f>E7+E12+E16+E20+E23</f>
        <v>1644064</v>
      </c>
      <c r="F6" s="90">
        <f>E6-D6</f>
        <v>907</v>
      </c>
      <c r="G6" s="90"/>
      <c r="H6" s="102" t="s">
        <v>316</v>
      </c>
    </row>
    <row r="7" spans="1:11" ht="26.1" customHeight="1" x14ac:dyDescent="0.3">
      <c r="A7" s="96" t="s">
        <v>140</v>
      </c>
      <c r="B7" s="96"/>
      <c r="C7" s="147"/>
      <c r="D7" s="101">
        <f>D8</f>
        <v>1354992</v>
      </c>
      <c r="E7" s="101">
        <f>E8</f>
        <v>1355899</v>
      </c>
      <c r="F7" s="90">
        <f>E7-D7</f>
        <v>907</v>
      </c>
      <c r="G7" s="90"/>
      <c r="H7" s="102"/>
    </row>
    <row r="8" spans="1:11" ht="26.1" customHeight="1" x14ac:dyDescent="0.3">
      <c r="A8" s="146"/>
      <c r="B8" s="96" t="s">
        <v>140</v>
      </c>
      <c r="C8" s="147"/>
      <c r="D8" s="101">
        <f>D9+D10+D11</f>
        <v>1354992</v>
      </c>
      <c r="E8" s="101">
        <f>E9+E10+E11</f>
        <v>1355899</v>
      </c>
      <c r="F8" s="101">
        <f>E8-D8</f>
        <v>907</v>
      </c>
      <c r="G8" s="101"/>
      <c r="H8" s="102"/>
    </row>
    <row r="9" spans="1:11" ht="48" x14ac:dyDescent="0.3">
      <c r="A9" s="218"/>
      <c r="B9" s="217"/>
      <c r="C9" s="96" t="s">
        <v>219</v>
      </c>
      <c r="D9" s="101">
        <v>1325378</v>
      </c>
      <c r="E9" s="101">
        <v>1324985</v>
      </c>
      <c r="F9" s="101"/>
      <c r="G9" s="90">
        <f>D9-E9</f>
        <v>393</v>
      </c>
      <c r="H9" s="89" t="s">
        <v>303</v>
      </c>
      <c r="J9" s="208" t="s">
        <v>294</v>
      </c>
      <c r="K9" s="209"/>
    </row>
    <row r="10" spans="1:11" ht="96" x14ac:dyDescent="0.3">
      <c r="A10" s="218"/>
      <c r="B10" s="217"/>
      <c r="C10" s="96" t="s">
        <v>135</v>
      </c>
      <c r="D10" s="101">
        <v>28314</v>
      </c>
      <c r="E10" s="101">
        <v>28314</v>
      </c>
      <c r="F10" s="101"/>
      <c r="G10" s="90"/>
      <c r="H10" s="89" t="s">
        <v>302</v>
      </c>
    </row>
    <row r="11" spans="1:11" ht="29.25" customHeight="1" x14ac:dyDescent="0.3">
      <c r="A11" s="219"/>
      <c r="B11" s="217"/>
      <c r="C11" s="96" t="s">
        <v>151</v>
      </c>
      <c r="D11" s="101">
        <v>1300</v>
      </c>
      <c r="E11" s="101">
        <v>2600</v>
      </c>
      <c r="F11" s="287">
        <f t="shared" ref="F10:F19" si="0">E11-D11</f>
        <v>1300</v>
      </c>
      <c r="G11" s="90"/>
      <c r="H11" s="89" t="s">
        <v>297</v>
      </c>
    </row>
    <row r="12" spans="1:11" ht="26.1" customHeight="1" x14ac:dyDescent="0.3">
      <c r="A12" s="96" t="s">
        <v>165</v>
      </c>
      <c r="B12" s="96"/>
      <c r="C12" s="96"/>
      <c r="D12" s="95">
        <f>SUM(D14:D15)</f>
        <v>130000</v>
      </c>
      <c r="E12" s="95">
        <f>SUM(E14:E15)</f>
        <v>130000</v>
      </c>
      <c r="F12" s="101"/>
      <c r="G12" s="90"/>
      <c r="H12" s="93"/>
    </row>
    <row r="13" spans="1:11" ht="26.1" customHeight="1" x14ac:dyDescent="0.3">
      <c r="A13" s="94"/>
      <c r="B13" s="96" t="s">
        <v>165</v>
      </c>
      <c r="C13" s="96"/>
      <c r="D13" s="101">
        <f>D14+D15</f>
        <v>130000</v>
      </c>
      <c r="E13" s="101">
        <f>E14+E15</f>
        <v>130000</v>
      </c>
      <c r="F13" s="101"/>
      <c r="G13" s="90"/>
      <c r="H13" s="93"/>
    </row>
    <row r="14" spans="1:11" ht="39.75" customHeight="1" x14ac:dyDescent="0.3">
      <c r="A14" s="94"/>
      <c r="B14" s="210"/>
      <c r="C14" s="94" t="s">
        <v>168</v>
      </c>
      <c r="D14" s="91">
        <v>70000</v>
      </c>
      <c r="E14" s="91">
        <v>70000</v>
      </c>
      <c r="F14" s="101"/>
      <c r="G14" s="90"/>
      <c r="H14" s="89" t="s">
        <v>11</v>
      </c>
    </row>
    <row r="15" spans="1:11" ht="32.25" customHeight="1" x14ac:dyDescent="0.3">
      <c r="A15" s="94"/>
      <c r="B15" s="211"/>
      <c r="C15" s="146" t="s">
        <v>220</v>
      </c>
      <c r="D15" s="91">
        <v>60000</v>
      </c>
      <c r="E15" s="91">
        <v>60000</v>
      </c>
      <c r="F15" s="101"/>
      <c r="G15" s="90"/>
      <c r="H15" s="89"/>
    </row>
    <row r="16" spans="1:11" ht="26.1" customHeight="1" x14ac:dyDescent="0.3">
      <c r="A16" s="96" t="s">
        <v>119</v>
      </c>
      <c r="B16" s="96"/>
      <c r="C16" s="148"/>
      <c r="D16" s="91">
        <f>D17</f>
        <v>11000</v>
      </c>
      <c r="E16" s="91">
        <f>E17</f>
        <v>11000</v>
      </c>
      <c r="F16" s="101"/>
      <c r="G16" s="100"/>
      <c r="H16" s="99"/>
    </row>
    <row r="17" spans="1:8" ht="26.1" customHeight="1" x14ac:dyDescent="0.3">
      <c r="A17" s="146"/>
      <c r="B17" s="96" t="s">
        <v>119</v>
      </c>
      <c r="C17" s="148"/>
      <c r="D17" s="91">
        <f>D18+D19</f>
        <v>11000</v>
      </c>
      <c r="E17" s="91">
        <f>E18+E19</f>
        <v>11000</v>
      </c>
      <c r="F17" s="101"/>
      <c r="G17" s="100"/>
      <c r="H17" s="99"/>
    </row>
    <row r="18" spans="1:8" ht="26.1" customHeight="1" x14ac:dyDescent="0.3">
      <c r="A18" s="205"/>
      <c r="B18" s="227"/>
      <c r="C18" s="206" t="s">
        <v>298</v>
      </c>
      <c r="D18" s="91">
        <v>1000</v>
      </c>
      <c r="E18" s="91">
        <v>1000</v>
      </c>
      <c r="F18" s="101"/>
      <c r="G18" s="207"/>
      <c r="H18" s="99"/>
    </row>
    <row r="19" spans="1:8" ht="33" customHeight="1" x14ac:dyDescent="0.3">
      <c r="A19" s="180"/>
      <c r="B19" s="211"/>
      <c r="C19" s="286" t="s">
        <v>299</v>
      </c>
      <c r="D19" s="91">
        <v>10000</v>
      </c>
      <c r="E19" s="91">
        <v>10000</v>
      </c>
      <c r="F19" s="101"/>
      <c r="G19" s="100"/>
      <c r="H19" s="204"/>
    </row>
    <row r="20" spans="1:8" ht="26.1" customHeight="1" x14ac:dyDescent="0.3">
      <c r="A20" s="96" t="s">
        <v>110</v>
      </c>
      <c r="B20" s="96"/>
      <c r="C20" s="96"/>
      <c r="D20" s="98">
        <f>SUM(D22:D22)</f>
        <v>125665</v>
      </c>
      <c r="E20" s="98">
        <f>SUM(E22:E22)</f>
        <v>125665</v>
      </c>
      <c r="F20" s="101"/>
      <c r="G20" s="98"/>
      <c r="H20" s="97"/>
    </row>
    <row r="21" spans="1:8" ht="26.1" customHeight="1" x14ac:dyDescent="0.3">
      <c r="A21" s="146"/>
      <c r="B21" s="96" t="s">
        <v>110</v>
      </c>
      <c r="C21" s="96"/>
      <c r="D21" s="91">
        <f>D22</f>
        <v>125665</v>
      </c>
      <c r="E21" s="91">
        <f>E22</f>
        <v>125665</v>
      </c>
      <c r="F21" s="101"/>
      <c r="G21" s="91"/>
      <c r="H21" s="97"/>
    </row>
    <row r="22" spans="1:8" ht="26.1" customHeight="1" x14ac:dyDescent="0.3">
      <c r="A22" s="180"/>
      <c r="B22" s="96"/>
      <c r="C22" s="149" t="s">
        <v>217</v>
      </c>
      <c r="D22" s="91">
        <v>125665</v>
      </c>
      <c r="E22" s="91">
        <v>125665</v>
      </c>
      <c r="F22" s="101"/>
      <c r="G22" s="90"/>
      <c r="H22" s="89" t="s">
        <v>19</v>
      </c>
    </row>
    <row r="23" spans="1:8" ht="26.1" customHeight="1" x14ac:dyDescent="0.3">
      <c r="A23" s="96" t="s">
        <v>75</v>
      </c>
      <c r="B23" s="96"/>
      <c r="C23" s="96"/>
      <c r="D23" s="95">
        <f>SUM(D25:D26)</f>
        <v>21500</v>
      </c>
      <c r="E23" s="95">
        <f>SUM(E25:E26)</f>
        <v>21500</v>
      </c>
      <c r="F23" s="101"/>
      <c r="G23" s="90"/>
      <c r="H23" s="93"/>
    </row>
    <row r="24" spans="1:8" ht="26.1" customHeight="1" x14ac:dyDescent="0.3">
      <c r="A24" s="94"/>
      <c r="B24" s="96" t="s">
        <v>75</v>
      </c>
      <c r="C24" s="96"/>
      <c r="D24" s="101">
        <f>D25+D26</f>
        <v>21500</v>
      </c>
      <c r="E24" s="101">
        <f>E25+E26</f>
        <v>21500</v>
      </c>
      <c r="F24" s="101"/>
      <c r="G24" s="90"/>
      <c r="H24" s="93"/>
    </row>
    <row r="25" spans="1:8" ht="33" customHeight="1" x14ac:dyDescent="0.3">
      <c r="A25" s="94"/>
      <c r="B25" s="94"/>
      <c r="C25" s="150" t="s">
        <v>26</v>
      </c>
      <c r="D25" s="91">
        <v>1500</v>
      </c>
      <c r="E25" s="91">
        <v>1500</v>
      </c>
      <c r="F25" s="101"/>
      <c r="G25" s="90"/>
      <c r="H25" s="93"/>
    </row>
    <row r="26" spans="1:8" ht="70.5" customHeight="1" x14ac:dyDescent="0.3">
      <c r="A26" s="92"/>
      <c r="B26" s="92"/>
      <c r="C26" s="96" t="s">
        <v>157</v>
      </c>
      <c r="D26" s="91">
        <v>20000</v>
      </c>
      <c r="E26" s="91">
        <v>20000</v>
      </c>
      <c r="F26" s="101"/>
      <c r="G26" s="90"/>
      <c r="H26" s="89" t="s">
        <v>234</v>
      </c>
    </row>
  </sheetData>
  <mergeCells count="11">
    <mergeCell ref="B18:B19"/>
    <mergeCell ref="J9:K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26" type="noConversion"/>
  <printOptions horizontalCentered="1"/>
  <pageMargins left="0.70805555582046509" right="0.70805555582046509" top="0.74750000238418579" bottom="0.74750000238418579" header="0.31402778625488281" footer="0.31402778625488281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T58"/>
  <sheetViews>
    <sheetView tabSelected="1" topLeftCell="A46" zoomScale="90" zoomScaleNormal="90" workbookViewId="0">
      <selection activeCell="F17" sqref="F17"/>
    </sheetView>
  </sheetViews>
  <sheetFormatPr defaultColWidth="9" defaultRowHeight="13.5" x14ac:dyDescent="0.3"/>
  <cols>
    <col min="1" max="1" width="12.625" style="32" bestFit="1" customWidth="1"/>
    <col min="2" max="2" width="12.625" style="88" bestFit="1" customWidth="1"/>
    <col min="3" max="3" width="18.25" style="88" bestFit="1" customWidth="1"/>
    <col min="4" max="4" width="14.75" style="32" bestFit="1" customWidth="1"/>
    <col min="5" max="5" width="14.5" style="32" bestFit="1" customWidth="1"/>
    <col min="6" max="6" width="12" style="32" bestFit="1" customWidth="1"/>
    <col min="7" max="7" width="11.25" style="32" bestFit="1" customWidth="1"/>
    <col min="8" max="8" width="42.625" style="87" customWidth="1"/>
    <col min="9" max="9" width="10" style="32" customWidth="1"/>
    <col min="10" max="10" width="22" style="32" bestFit="1" customWidth="1"/>
    <col min="11" max="254" width="10" style="32" customWidth="1"/>
    <col min="255" max="16384" width="9" style="27"/>
  </cols>
  <sheetData>
    <row r="1" spans="1:10" ht="39" customHeight="1" x14ac:dyDescent="0.3">
      <c r="A1" s="215" t="s">
        <v>281</v>
      </c>
      <c r="B1" s="215"/>
      <c r="C1" s="215"/>
      <c r="D1" s="215"/>
      <c r="E1" s="215"/>
      <c r="F1" s="215"/>
      <c r="G1" s="215"/>
      <c r="H1" s="215"/>
    </row>
    <row r="2" spans="1:10" ht="25.5" x14ac:dyDescent="0.3">
      <c r="A2" s="113"/>
      <c r="B2" s="113"/>
      <c r="C2" s="113"/>
      <c r="D2" s="155"/>
      <c r="E2" s="142"/>
      <c r="F2" s="113"/>
      <c r="G2" s="113"/>
      <c r="H2" s="141"/>
    </row>
    <row r="3" spans="1:10" s="32" customFormat="1" x14ac:dyDescent="0.3">
      <c r="A3" s="140" t="s">
        <v>230</v>
      </c>
      <c r="B3" s="140"/>
      <c r="C3" s="140"/>
      <c r="D3" s="139"/>
      <c r="E3" s="138"/>
      <c r="F3" s="138"/>
      <c r="G3" s="137"/>
      <c r="H3" s="83" t="s">
        <v>28</v>
      </c>
    </row>
    <row r="4" spans="1:10" ht="24.95" customHeight="1" x14ac:dyDescent="0.3">
      <c r="A4" s="228" t="s">
        <v>141</v>
      </c>
      <c r="B4" s="229"/>
      <c r="C4" s="230"/>
      <c r="D4" s="226" t="s">
        <v>154</v>
      </c>
      <c r="E4" s="226"/>
      <c r="F4" s="231" t="s">
        <v>48</v>
      </c>
      <c r="G4" s="232"/>
      <c r="H4" s="233" t="s">
        <v>224</v>
      </c>
    </row>
    <row r="5" spans="1:10" ht="24.95" customHeight="1" x14ac:dyDescent="0.3">
      <c r="A5" s="136" t="s">
        <v>106</v>
      </c>
      <c r="B5" s="136" t="s">
        <v>123</v>
      </c>
      <c r="C5" s="136" t="s">
        <v>104</v>
      </c>
      <c r="D5" s="136" t="s">
        <v>285</v>
      </c>
      <c r="E5" s="136" t="s">
        <v>286</v>
      </c>
      <c r="F5" s="135" t="s">
        <v>116</v>
      </c>
      <c r="G5" s="135" t="s">
        <v>117</v>
      </c>
      <c r="H5" s="234"/>
    </row>
    <row r="6" spans="1:10" ht="24.75" customHeight="1" x14ac:dyDescent="0.3">
      <c r="A6" s="211" t="s">
        <v>22</v>
      </c>
      <c r="B6" s="211"/>
      <c r="C6" s="211"/>
      <c r="D6" s="134">
        <f>D7+D24+D29+D53+D56</f>
        <v>1643157</v>
      </c>
      <c r="E6" s="134">
        <f>E7+E24+E29+E53+E56</f>
        <v>1644064</v>
      </c>
      <c r="F6" s="116">
        <f>E6-D6</f>
        <v>907</v>
      </c>
      <c r="G6" s="128"/>
      <c r="H6" s="102" t="s">
        <v>317</v>
      </c>
    </row>
    <row r="7" spans="1:10" ht="24.75" customHeight="1" x14ac:dyDescent="0.3">
      <c r="A7" s="146" t="s">
        <v>99</v>
      </c>
      <c r="B7" s="154"/>
      <c r="C7" s="154"/>
      <c r="D7" s="133">
        <f>D8+D14+D17</f>
        <v>1137876</v>
      </c>
      <c r="E7" s="133">
        <f>E8+E14+E17</f>
        <v>1137876</v>
      </c>
      <c r="F7" s="116"/>
      <c r="G7" s="98"/>
      <c r="H7" s="115"/>
      <c r="J7" s="203"/>
    </row>
    <row r="8" spans="1:10" ht="24.75" customHeight="1" x14ac:dyDescent="0.3">
      <c r="A8" s="146"/>
      <c r="B8" s="96" t="s">
        <v>54</v>
      </c>
      <c r="C8" s="96"/>
      <c r="D8" s="28">
        <f>SUM(D9:D13)</f>
        <v>1052491</v>
      </c>
      <c r="E8" s="28">
        <f>SUM(E9:E13)</f>
        <v>1052491</v>
      </c>
      <c r="F8" s="116"/>
      <c r="G8" s="98"/>
      <c r="H8" s="115"/>
    </row>
    <row r="9" spans="1:10" ht="48" customHeight="1" x14ac:dyDescent="0.3">
      <c r="A9" s="94"/>
      <c r="B9" s="146"/>
      <c r="C9" s="96" t="s">
        <v>147</v>
      </c>
      <c r="D9" s="117">
        <v>711864</v>
      </c>
      <c r="E9" s="117">
        <v>711864</v>
      </c>
      <c r="F9" s="116"/>
      <c r="G9" s="98"/>
      <c r="H9" s="145" t="s">
        <v>265</v>
      </c>
    </row>
    <row r="10" spans="1:10" ht="63" customHeight="1" x14ac:dyDescent="0.3">
      <c r="A10" s="94"/>
      <c r="B10" s="94"/>
      <c r="C10" s="96" t="s">
        <v>155</v>
      </c>
      <c r="D10" s="117">
        <v>178479</v>
      </c>
      <c r="E10" s="117">
        <v>178479</v>
      </c>
      <c r="F10" s="116"/>
      <c r="G10" s="98"/>
      <c r="H10" s="145" t="s">
        <v>300</v>
      </c>
    </row>
    <row r="11" spans="1:10" ht="35.25" customHeight="1" x14ac:dyDescent="0.3">
      <c r="A11" s="94"/>
      <c r="B11" s="94"/>
      <c r="C11" s="149" t="s">
        <v>25</v>
      </c>
      <c r="D11" s="117">
        <v>74196</v>
      </c>
      <c r="E11" s="117">
        <v>74196</v>
      </c>
      <c r="F11" s="116"/>
      <c r="G11" s="98"/>
      <c r="H11" s="145" t="s">
        <v>301</v>
      </c>
    </row>
    <row r="12" spans="1:10" ht="81.75" customHeight="1" x14ac:dyDescent="0.3">
      <c r="A12" s="94"/>
      <c r="B12" s="94"/>
      <c r="C12" s="149" t="s">
        <v>30</v>
      </c>
      <c r="D12" s="117">
        <v>83340</v>
      </c>
      <c r="E12" s="117">
        <v>83340</v>
      </c>
      <c r="F12" s="116"/>
      <c r="G12" s="98"/>
      <c r="H12" s="145" t="s">
        <v>304</v>
      </c>
    </row>
    <row r="13" spans="1:10" ht="75" customHeight="1" x14ac:dyDescent="0.3">
      <c r="A13" s="94"/>
      <c r="B13" s="94"/>
      <c r="C13" s="146" t="s">
        <v>279</v>
      </c>
      <c r="D13" s="132">
        <v>4612</v>
      </c>
      <c r="E13" s="132">
        <v>4612</v>
      </c>
      <c r="F13" s="116"/>
      <c r="G13" s="98"/>
      <c r="H13" s="118" t="s">
        <v>305</v>
      </c>
    </row>
    <row r="14" spans="1:10" ht="24.75" customHeight="1" x14ac:dyDescent="0.3">
      <c r="A14" s="94"/>
      <c r="B14" s="96" t="s">
        <v>153</v>
      </c>
      <c r="C14" s="96"/>
      <c r="D14" s="28">
        <f>SUM(D15:D16)</f>
        <v>4620</v>
      </c>
      <c r="E14" s="28">
        <f>SUM(E15:E16)</f>
        <v>4620</v>
      </c>
      <c r="F14" s="116"/>
      <c r="G14" s="98"/>
      <c r="H14" s="115"/>
    </row>
    <row r="15" spans="1:10" ht="45" x14ac:dyDescent="0.3">
      <c r="A15" s="94"/>
      <c r="B15" s="227"/>
      <c r="C15" s="146" t="s">
        <v>218</v>
      </c>
      <c r="D15" s="131">
        <v>3660</v>
      </c>
      <c r="E15" s="131">
        <v>3660</v>
      </c>
      <c r="F15" s="116"/>
      <c r="G15" s="98"/>
      <c r="H15" s="118" t="s">
        <v>16</v>
      </c>
    </row>
    <row r="16" spans="1:10" ht="45" x14ac:dyDescent="0.3">
      <c r="A16" s="94"/>
      <c r="B16" s="210"/>
      <c r="C16" s="146" t="s">
        <v>162</v>
      </c>
      <c r="D16" s="131">
        <v>960</v>
      </c>
      <c r="E16" s="131">
        <v>960</v>
      </c>
      <c r="F16" s="116"/>
      <c r="G16" s="98"/>
      <c r="H16" s="118" t="s">
        <v>14</v>
      </c>
    </row>
    <row r="17" spans="1:8" ht="24.75" customHeight="1" x14ac:dyDescent="0.3">
      <c r="A17" s="94"/>
      <c r="B17" s="96" t="s">
        <v>103</v>
      </c>
      <c r="C17" s="96"/>
      <c r="D17" s="28">
        <f>SUM(D18:D23)</f>
        <v>80765</v>
      </c>
      <c r="E17" s="28">
        <f>SUM(E18:E23)</f>
        <v>80765</v>
      </c>
      <c r="F17" s="116"/>
      <c r="G17" s="98"/>
      <c r="H17" s="115"/>
    </row>
    <row r="18" spans="1:8" ht="56.25" x14ac:dyDescent="0.3">
      <c r="A18" s="94"/>
      <c r="B18" s="210"/>
      <c r="C18" s="96" t="s">
        <v>156</v>
      </c>
      <c r="D18" s="117">
        <v>3750</v>
      </c>
      <c r="E18" s="117">
        <v>3750</v>
      </c>
      <c r="F18" s="116"/>
      <c r="G18" s="98"/>
      <c r="H18" s="118" t="s">
        <v>170</v>
      </c>
    </row>
    <row r="19" spans="1:8" ht="188.25" customHeight="1" x14ac:dyDescent="0.3">
      <c r="A19" s="94"/>
      <c r="B19" s="210"/>
      <c r="C19" s="149" t="s">
        <v>33</v>
      </c>
      <c r="D19" s="117">
        <v>23360</v>
      </c>
      <c r="E19" s="117">
        <v>23360</v>
      </c>
      <c r="F19" s="116"/>
      <c r="G19" s="98"/>
      <c r="H19" s="118" t="s">
        <v>306</v>
      </c>
    </row>
    <row r="20" spans="1:8" ht="126" customHeight="1" x14ac:dyDescent="0.3">
      <c r="A20" s="94"/>
      <c r="B20" s="210"/>
      <c r="C20" s="96" t="s">
        <v>222</v>
      </c>
      <c r="D20" s="117">
        <v>32460</v>
      </c>
      <c r="E20" s="117">
        <v>32460</v>
      </c>
      <c r="F20" s="116"/>
      <c r="G20" s="98"/>
      <c r="H20" s="118" t="s">
        <v>280</v>
      </c>
    </row>
    <row r="21" spans="1:8" ht="153" customHeight="1" x14ac:dyDescent="0.3">
      <c r="A21" s="94"/>
      <c r="B21" s="210"/>
      <c r="C21" s="96" t="s">
        <v>146</v>
      </c>
      <c r="D21" s="117">
        <v>10595</v>
      </c>
      <c r="E21" s="117">
        <v>10595</v>
      </c>
      <c r="F21" s="116"/>
      <c r="G21" s="98"/>
      <c r="H21" s="118" t="s">
        <v>307</v>
      </c>
    </row>
    <row r="22" spans="1:8" ht="49.5" customHeight="1" x14ac:dyDescent="0.3">
      <c r="A22" s="94"/>
      <c r="B22" s="210"/>
      <c r="C22" s="96" t="s">
        <v>133</v>
      </c>
      <c r="D22" s="117">
        <v>9600</v>
      </c>
      <c r="E22" s="117">
        <v>9600</v>
      </c>
      <c r="F22" s="116"/>
      <c r="G22" s="98"/>
      <c r="H22" s="118" t="s">
        <v>308</v>
      </c>
    </row>
    <row r="23" spans="1:8" ht="41.25" customHeight="1" x14ac:dyDescent="0.3">
      <c r="A23" s="94"/>
      <c r="B23" s="94"/>
      <c r="C23" s="96" t="s">
        <v>221</v>
      </c>
      <c r="D23" s="117">
        <v>1000</v>
      </c>
      <c r="E23" s="117">
        <v>1000</v>
      </c>
      <c r="F23" s="116"/>
      <c r="G23" s="98"/>
      <c r="H23" s="118" t="s">
        <v>0</v>
      </c>
    </row>
    <row r="24" spans="1:8" ht="24.75" customHeight="1" x14ac:dyDescent="0.3">
      <c r="A24" s="96" t="s">
        <v>231</v>
      </c>
      <c r="B24" s="96"/>
      <c r="C24" s="96"/>
      <c r="D24" s="28">
        <f>SUM(D26:D28)</f>
        <v>28375</v>
      </c>
      <c r="E24" s="28">
        <f>SUM(E26:E28)</f>
        <v>28375</v>
      </c>
      <c r="F24" s="116"/>
      <c r="G24" s="98"/>
      <c r="H24" s="115"/>
    </row>
    <row r="25" spans="1:8" ht="24.75" customHeight="1" x14ac:dyDescent="0.3">
      <c r="A25" s="94"/>
      <c r="B25" s="146" t="s">
        <v>109</v>
      </c>
      <c r="C25" s="146"/>
      <c r="D25" s="28">
        <f>D26+D27+D28</f>
        <v>28375</v>
      </c>
      <c r="E25" s="28">
        <f>E26+E27+E28</f>
        <v>28375</v>
      </c>
      <c r="F25" s="116"/>
      <c r="G25" s="98"/>
      <c r="H25" s="152"/>
    </row>
    <row r="26" spans="1:8" ht="24.75" customHeight="1" x14ac:dyDescent="0.3">
      <c r="A26" s="94"/>
      <c r="B26" s="146"/>
      <c r="C26" s="146" t="s">
        <v>109</v>
      </c>
      <c r="D26" s="131">
        <v>5000</v>
      </c>
      <c r="E26" s="131">
        <v>5000</v>
      </c>
      <c r="F26" s="116"/>
      <c r="G26" s="98"/>
      <c r="H26" s="130" t="s">
        <v>236</v>
      </c>
    </row>
    <row r="27" spans="1:8" ht="27" customHeight="1" x14ac:dyDescent="0.3">
      <c r="A27" s="94"/>
      <c r="B27" s="94"/>
      <c r="C27" s="96" t="s">
        <v>226</v>
      </c>
      <c r="D27" s="117">
        <v>4800</v>
      </c>
      <c r="E27" s="117">
        <v>4800</v>
      </c>
      <c r="F27" s="116"/>
      <c r="G27" s="98"/>
      <c r="H27" s="118" t="s">
        <v>3</v>
      </c>
    </row>
    <row r="28" spans="1:8" ht="55.5" customHeight="1" x14ac:dyDescent="0.3">
      <c r="A28" s="92"/>
      <c r="B28" s="92"/>
      <c r="C28" s="96" t="s">
        <v>173</v>
      </c>
      <c r="D28" s="117">
        <v>18575</v>
      </c>
      <c r="E28" s="117">
        <v>18575</v>
      </c>
      <c r="F28" s="116"/>
      <c r="G28" s="98"/>
      <c r="H28" s="289" t="s">
        <v>309</v>
      </c>
    </row>
    <row r="29" spans="1:8" ht="24.75" customHeight="1" x14ac:dyDescent="0.3">
      <c r="A29" s="96" t="s">
        <v>122</v>
      </c>
      <c r="B29" s="96"/>
      <c r="C29" s="96"/>
      <c r="D29" s="28">
        <f>D30+D36+D44</f>
        <v>472154</v>
      </c>
      <c r="E29" s="28">
        <f>E30+E36+E44</f>
        <v>473061</v>
      </c>
      <c r="F29" s="116">
        <f t="shared" ref="F10:F58" si="0">E29-D29</f>
        <v>907</v>
      </c>
      <c r="G29" s="98"/>
      <c r="H29" s="115"/>
    </row>
    <row r="30" spans="1:8" ht="24.75" customHeight="1" x14ac:dyDescent="0.3">
      <c r="A30" s="94"/>
      <c r="B30" s="96" t="s">
        <v>103</v>
      </c>
      <c r="C30" s="96"/>
      <c r="D30" s="28">
        <f>SUM(D31:D35)</f>
        <v>318008</v>
      </c>
      <c r="E30" s="28">
        <f>SUM(E31:E35)</f>
        <v>318008</v>
      </c>
      <c r="F30" s="116"/>
      <c r="G30" s="98"/>
      <c r="H30" s="115"/>
    </row>
    <row r="31" spans="1:8" ht="86.25" customHeight="1" x14ac:dyDescent="0.3">
      <c r="A31" s="94"/>
      <c r="B31" s="129"/>
      <c r="C31" s="190" t="s">
        <v>4</v>
      </c>
      <c r="D31" s="117">
        <v>180992</v>
      </c>
      <c r="E31" s="117">
        <v>180992</v>
      </c>
      <c r="F31" s="116"/>
      <c r="G31" s="98"/>
      <c r="H31" s="1" t="s">
        <v>232</v>
      </c>
    </row>
    <row r="32" spans="1:8" ht="72" customHeight="1" x14ac:dyDescent="0.3">
      <c r="A32" s="94"/>
      <c r="B32" s="127"/>
      <c r="C32" s="189" t="s">
        <v>277</v>
      </c>
      <c r="D32" s="117">
        <v>55235</v>
      </c>
      <c r="E32" s="195">
        <v>55235</v>
      </c>
      <c r="F32" s="116"/>
      <c r="G32" s="98"/>
      <c r="H32" s="120" t="s">
        <v>310</v>
      </c>
    </row>
    <row r="33" spans="1:254" ht="66" customHeight="1" x14ac:dyDescent="0.3">
      <c r="A33" s="94"/>
      <c r="B33" s="129"/>
      <c r="C33" s="151" t="s">
        <v>198</v>
      </c>
      <c r="D33" s="117">
        <v>49538</v>
      </c>
      <c r="E33" s="117">
        <v>49538</v>
      </c>
      <c r="F33" s="116"/>
      <c r="G33" s="98"/>
      <c r="H33" s="290" t="s">
        <v>311</v>
      </c>
    </row>
    <row r="34" spans="1:254" ht="96" customHeight="1" x14ac:dyDescent="0.3">
      <c r="A34" s="94"/>
      <c r="B34" s="127"/>
      <c r="C34" s="96" t="s">
        <v>139</v>
      </c>
      <c r="D34" s="117">
        <v>11450</v>
      </c>
      <c r="E34" s="117">
        <v>11450</v>
      </c>
      <c r="F34" s="116"/>
      <c r="G34" s="98"/>
      <c r="H34" s="118" t="s">
        <v>293</v>
      </c>
    </row>
    <row r="35" spans="1:254" ht="63.75" customHeight="1" x14ac:dyDescent="0.3">
      <c r="A35" s="94"/>
      <c r="B35" s="127"/>
      <c r="C35" s="96" t="s">
        <v>134</v>
      </c>
      <c r="D35" s="117">
        <v>20793</v>
      </c>
      <c r="E35" s="117">
        <v>20793</v>
      </c>
      <c r="F35" s="116"/>
      <c r="G35" s="98"/>
      <c r="H35" s="153" t="s">
        <v>15</v>
      </c>
    </row>
    <row r="36" spans="1:254" ht="24.75" customHeight="1" x14ac:dyDescent="0.3">
      <c r="A36" s="94"/>
      <c r="B36" s="126" t="s">
        <v>114</v>
      </c>
      <c r="C36" s="96"/>
      <c r="D36" s="119">
        <f>SUM(D37:D43)</f>
        <v>61368</v>
      </c>
      <c r="E36" s="119">
        <f>SUM(E37:E43)</f>
        <v>60975</v>
      </c>
      <c r="F36" s="116"/>
      <c r="G36" s="98">
        <f>D36-E36</f>
        <v>393</v>
      </c>
      <c r="H36" s="125"/>
    </row>
    <row r="37" spans="1:254" ht="44.25" customHeight="1" x14ac:dyDescent="0.3">
      <c r="A37" s="94"/>
      <c r="B37" s="124"/>
      <c r="C37" s="96" t="s">
        <v>160</v>
      </c>
      <c r="D37" s="117">
        <v>5546</v>
      </c>
      <c r="E37" s="117">
        <v>5125</v>
      </c>
      <c r="F37" s="116"/>
      <c r="G37" s="98">
        <f>D37-E37</f>
        <v>421</v>
      </c>
      <c r="H37" s="118" t="s">
        <v>312</v>
      </c>
    </row>
    <row r="38" spans="1:254" ht="69.75" customHeight="1" x14ac:dyDescent="0.3">
      <c r="A38" s="94"/>
      <c r="B38" s="124"/>
      <c r="C38" s="96" t="s">
        <v>166</v>
      </c>
      <c r="D38" s="117">
        <v>7207</v>
      </c>
      <c r="E38" s="117">
        <v>7235</v>
      </c>
      <c r="F38" s="116">
        <f t="shared" si="0"/>
        <v>28</v>
      </c>
      <c r="G38" s="98"/>
      <c r="H38" s="118" t="s">
        <v>315</v>
      </c>
    </row>
    <row r="39" spans="1:254" ht="42.75" customHeight="1" x14ac:dyDescent="0.3">
      <c r="A39" s="94"/>
      <c r="B39" s="124"/>
      <c r="C39" s="96" t="s">
        <v>137</v>
      </c>
      <c r="D39" s="117">
        <v>2280</v>
      </c>
      <c r="E39" s="117">
        <v>2280</v>
      </c>
      <c r="F39" s="116"/>
      <c r="G39" s="98">
        <f>D39-E39</f>
        <v>0</v>
      </c>
      <c r="H39" s="118" t="s">
        <v>258</v>
      </c>
    </row>
    <row r="40" spans="1:254" ht="86.25" customHeight="1" x14ac:dyDescent="0.3">
      <c r="A40" s="94"/>
      <c r="B40" s="124"/>
      <c r="C40" s="96" t="s">
        <v>136</v>
      </c>
      <c r="D40" s="117">
        <v>35400</v>
      </c>
      <c r="E40" s="117">
        <v>35400</v>
      </c>
      <c r="F40" s="116"/>
      <c r="G40" s="98"/>
      <c r="H40" s="118" t="s">
        <v>126</v>
      </c>
    </row>
    <row r="41" spans="1:254" ht="40.5" customHeight="1" x14ac:dyDescent="0.3">
      <c r="A41" s="94"/>
      <c r="B41" s="124"/>
      <c r="C41" s="96" t="s">
        <v>223</v>
      </c>
      <c r="D41" s="117">
        <v>2055</v>
      </c>
      <c r="E41" s="117">
        <v>2055</v>
      </c>
      <c r="F41" s="116"/>
      <c r="G41" s="98"/>
      <c r="H41" s="118" t="s">
        <v>296</v>
      </c>
    </row>
    <row r="42" spans="1:254" ht="45" customHeight="1" x14ac:dyDescent="0.3">
      <c r="A42" s="94"/>
      <c r="B42" s="124"/>
      <c r="C42" s="96" t="s">
        <v>143</v>
      </c>
      <c r="D42" s="117">
        <v>4200</v>
      </c>
      <c r="E42" s="117">
        <v>4200</v>
      </c>
      <c r="F42" s="116"/>
      <c r="G42" s="98"/>
      <c r="H42" s="118" t="s">
        <v>125</v>
      </c>
    </row>
    <row r="43" spans="1:254" ht="26.25" customHeight="1" x14ac:dyDescent="0.3">
      <c r="A43" s="94"/>
      <c r="B43" s="123"/>
      <c r="C43" s="96" t="s">
        <v>229</v>
      </c>
      <c r="D43" s="117">
        <v>4680</v>
      </c>
      <c r="E43" s="117">
        <v>4680</v>
      </c>
      <c r="F43" s="116"/>
      <c r="G43" s="98"/>
      <c r="H43" s="118" t="s">
        <v>13</v>
      </c>
      <c r="IR43" s="27"/>
      <c r="IS43" s="27"/>
      <c r="IT43" s="27"/>
    </row>
    <row r="44" spans="1:254" ht="24.75" customHeight="1" x14ac:dyDescent="0.3">
      <c r="A44" s="121"/>
      <c r="B44" s="122" t="s">
        <v>122</v>
      </c>
      <c r="C44" s="96" t="s">
        <v>97</v>
      </c>
      <c r="D44" s="119">
        <f>SUM(D45:D52)</f>
        <v>92778</v>
      </c>
      <c r="E44" s="119">
        <f>SUM(E45:E52)</f>
        <v>94078</v>
      </c>
      <c r="F44" s="116">
        <f t="shared" si="0"/>
        <v>1300</v>
      </c>
      <c r="G44" s="98"/>
      <c r="H44" s="118"/>
      <c r="IR44" s="27"/>
      <c r="IS44" s="27"/>
      <c r="IT44" s="27"/>
    </row>
    <row r="45" spans="1:254" ht="41.25" customHeight="1" x14ac:dyDescent="0.3">
      <c r="A45" s="121"/>
      <c r="B45" s="156"/>
      <c r="C45" s="149" t="s">
        <v>45</v>
      </c>
      <c r="D45" s="117">
        <v>7605</v>
      </c>
      <c r="E45" s="117">
        <v>7605</v>
      </c>
      <c r="F45" s="116"/>
      <c r="G45" s="98"/>
      <c r="H45" s="118" t="s">
        <v>233</v>
      </c>
      <c r="IR45" s="27"/>
      <c r="IS45" s="27"/>
      <c r="IT45" s="27"/>
    </row>
    <row r="46" spans="1:254" ht="29.25" customHeight="1" x14ac:dyDescent="0.3">
      <c r="A46" s="121"/>
      <c r="B46" s="179"/>
      <c r="C46" s="149" t="s">
        <v>21</v>
      </c>
      <c r="D46" s="117">
        <v>4680</v>
      </c>
      <c r="E46" s="117">
        <v>4680</v>
      </c>
      <c r="F46" s="116"/>
      <c r="G46" s="98"/>
      <c r="H46" s="118" t="s">
        <v>313</v>
      </c>
      <c r="IR46" s="27"/>
      <c r="IS46" s="27"/>
      <c r="IT46" s="27"/>
    </row>
    <row r="47" spans="1:254" ht="46.5" customHeight="1" x14ac:dyDescent="0.3">
      <c r="A47" s="121"/>
      <c r="B47" s="156"/>
      <c r="C47" s="149" t="s">
        <v>47</v>
      </c>
      <c r="D47" s="117">
        <v>2165</v>
      </c>
      <c r="E47" s="117">
        <v>2165</v>
      </c>
      <c r="F47" s="116"/>
      <c r="G47" s="98"/>
      <c r="H47" s="118" t="s">
        <v>12</v>
      </c>
      <c r="IR47" s="27"/>
      <c r="IS47" s="27"/>
      <c r="IT47" s="27"/>
    </row>
    <row r="48" spans="1:254" ht="36" customHeight="1" x14ac:dyDescent="0.3">
      <c r="A48" s="121"/>
      <c r="B48" s="156"/>
      <c r="C48" s="149" t="s">
        <v>40</v>
      </c>
      <c r="D48" s="117">
        <v>12000</v>
      </c>
      <c r="E48" s="193">
        <v>11400</v>
      </c>
      <c r="F48" s="116"/>
      <c r="G48" s="98">
        <f>D48-E48</f>
        <v>600</v>
      </c>
      <c r="H48" s="118" t="s">
        <v>314</v>
      </c>
      <c r="I48" s="196"/>
      <c r="IR48" s="27"/>
      <c r="IS48" s="27"/>
      <c r="IT48" s="27"/>
    </row>
    <row r="49" spans="1:254" ht="36" customHeight="1" x14ac:dyDescent="0.3">
      <c r="A49" s="121"/>
      <c r="B49" s="156"/>
      <c r="C49" s="149" t="s">
        <v>50</v>
      </c>
      <c r="D49" s="117">
        <v>500</v>
      </c>
      <c r="E49" s="117">
        <v>500</v>
      </c>
      <c r="F49" s="116"/>
      <c r="G49" s="98"/>
      <c r="H49" s="118" t="s">
        <v>243</v>
      </c>
      <c r="IR49" s="27"/>
      <c r="IS49" s="27"/>
      <c r="IT49" s="27"/>
    </row>
    <row r="50" spans="1:254" ht="36" customHeight="1" x14ac:dyDescent="0.3">
      <c r="A50" s="121"/>
      <c r="B50" s="156"/>
      <c r="C50" s="149" t="s">
        <v>49</v>
      </c>
      <c r="D50" s="117">
        <v>62728</v>
      </c>
      <c r="E50" s="117">
        <v>62728</v>
      </c>
      <c r="F50" s="116"/>
      <c r="G50" s="98"/>
      <c r="H50" s="120" t="s">
        <v>251</v>
      </c>
      <c r="IR50" s="27"/>
      <c r="IS50" s="27"/>
      <c r="IT50" s="27"/>
    </row>
    <row r="51" spans="1:254" ht="36" customHeight="1" x14ac:dyDescent="0.3">
      <c r="A51" s="121"/>
      <c r="B51" s="179"/>
      <c r="C51" s="149" t="s">
        <v>227</v>
      </c>
      <c r="D51" s="117">
        <v>1100</v>
      </c>
      <c r="E51" s="193">
        <v>3000</v>
      </c>
      <c r="F51" s="116">
        <f t="shared" si="0"/>
        <v>1900</v>
      </c>
      <c r="G51" s="98"/>
      <c r="H51" s="120" t="s">
        <v>295</v>
      </c>
      <c r="IR51" s="27"/>
      <c r="IS51" s="27"/>
      <c r="IT51" s="27"/>
    </row>
    <row r="52" spans="1:254" ht="53.25" customHeight="1" x14ac:dyDescent="0.3">
      <c r="A52" s="121"/>
      <c r="B52" s="156"/>
      <c r="C52" s="149" t="s">
        <v>152</v>
      </c>
      <c r="D52" s="117">
        <v>2000</v>
      </c>
      <c r="E52" s="117">
        <v>2000</v>
      </c>
      <c r="F52" s="116"/>
      <c r="G52" s="98"/>
      <c r="H52" s="120" t="s">
        <v>266</v>
      </c>
      <c r="IR52" s="27"/>
      <c r="IS52" s="27"/>
      <c r="IT52" s="27"/>
    </row>
    <row r="53" spans="1:254" ht="24.75" customHeight="1" x14ac:dyDescent="0.3">
      <c r="A53" s="96" t="s">
        <v>113</v>
      </c>
      <c r="B53" s="96"/>
      <c r="C53" s="96"/>
      <c r="D53" s="119">
        <f>D54</f>
        <v>2752</v>
      </c>
      <c r="E53" s="119">
        <f>E54</f>
        <v>2752</v>
      </c>
      <c r="F53" s="116"/>
      <c r="G53" s="98"/>
      <c r="H53" s="115"/>
    </row>
    <row r="54" spans="1:254" ht="24.75" customHeight="1" x14ac:dyDescent="0.3">
      <c r="A54" s="225"/>
      <c r="B54" s="96" t="s">
        <v>113</v>
      </c>
      <c r="C54" s="96"/>
      <c r="D54" s="117">
        <f>D55</f>
        <v>2752</v>
      </c>
      <c r="E54" s="117">
        <f>E55</f>
        <v>2752</v>
      </c>
      <c r="F54" s="116"/>
      <c r="G54" s="98"/>
      <c r="H54" s="115"/>
    </row>
    <row r="55" spans="1:254" ht="24.75" customHeight="1" x14ac:dyDescent="0.3">
      <c r="A55" s="225"/>
      <c r="B55" s="96"/>
      <c r="C55" s="96" t="s">
        <v>113</v>
      </c>
      <c r="D55" s="117">
        <v>2752</v>
      </c>
      <c r="E55" s="117">
        <v>2752</v>
      </c>
      <c r="F55" s="116"/>
      <c r="G55" s="98"/>
      <c r="H55" s="115" t="s">
        <v>228</v>
      </c>
    </row>
    <row r="56" spans="1:254" ht="24.75" customHeight="1" x14ac:dyDescent="0.3">
      <c r="A56" s="92" t="s">
        <v>102</v>
      </c>
      <c r="B56" s="96"/>
      <c r="C56" s="96"/>
      <c r="D56" s="117">
        <f>D57</f>
        <v>2000</v>
      </c>
      <c r="E56" s="117">
        <f>E57</f>
        <v>2000</v>
      </c>
      <c r="F56" s="116"/>
      <c r="G56" s="98"/>
      <c r="H56" s="125"/>
    </row>
    <row r="57" spans="1:254" ht="24.75" customHeight="1" x14ac:dyDescent="0.3">
      <c r="A57" s="225"/>
      <c r="B57" s="96" t="s">
        <v>102</v>
      </c>
      <c r="C57" s="96"/>
      <c r="D57" s="117">
        <f>D58</f>
        <v>2000</v>
      </c>
      <c r="E57" s="117">
        <f>E58</f>
        <v>2000</v>
      </c>
      <c r="F57" s="116"/>
      <c r="G57" s="98"/>
      <c r="H57" s="125"/>
    </row>
    <row r="58" spans="1:254" ht="24.75" customHeight="1" x14ac:dyDescent="0.3">
      <c r="A58" s="225"/>
      <c r="B58" s="96"/>
      <c r="C58" s="96" t="s">
        <v>102</v>
      </c>
      <c r="D58" s="117">
        <v>2000</v>
      </c>
      <c r="E58" s="117">
        <v>2000</v>
      </c>
      <c r="F58" s="116"/>
      <c r="G58" s="98"/>
      <c r="H58" s="118" t="s">
        <v>102</v>
      </c>
    </row>
  </sheetData>
  <mergeCells count="10">
    <mergeCell ref="A54:A55"/>
    <mergeCell ref="A57:A58"/>
    <mergeCell ref="A1:H1"/>
    <mergeCell ref="D4:E4"/>
    <mergeCell ref="B15:B16"/>
    <mergeCell ref="B18:B22"/>
    <mergeCell ref="A4:C4"/>
    <mergeCell ref="F4:G4"/>
    <mergeCell ref="H4:H5"/>
    <mergeCell ref="A6:C6"/>
  </mergeCells>
  <phoneticPr fontId="26" type="noConversion"/>
  <printOptions horizontalCentered="1"/>
  <pageMargins left="0.70847225189208984" right="0.39347222447395325" top="0.74750000238418579" bottom="0.47194445133209229" header="0.31444445252418518" footer="0.31444445252418518"/>
  <pageSetup paperSize="9" scale="89" fitToHeight="6" orientation="landscape" r:id="rId1"/>
  <headerFooter>
    <oddFooter>&amp;R&amp;"굴림,Regular"아동양육시설 성애원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U36"/>
  <sheetViews>
    <sheetView zoomScaleNormal="100" workbookViewId="0">
      <pane xSplit="3" ySplit="5" topLeftCell="D21" activePane="bottomRight" state="frozen"/>
      <selection pane="topRight"/>
      <selection pane="bottomLeft"/>
      <selection pane="bottomRight" activeCell="K16" sqref="K16"/>
    </sheetView>
  </sheetViews>
  <sheetFormatPr defaultColWidth="8.875" defaultRowHeight="16.5" x14ac:dyDescent="0.3"/>
  <cols>
    <col min="1" max="1" width="6" style="4" customWidth="1"/>
    <col min="2" max="2" width="17.375" style="4" customWidth="1"/>
    <col min="3" max="3" width="6.5" style="4" customWidth="1"/>
    <col min="4" max="4" width="14.5" bestFit="1" customWidth="1"/>
    <col min="5" max="5" width="15.75" bestFit="1" customWidth="1"/>
    <col min="6" max="6" width="15.125" bestFit="1" customWidth="1"/>
    <col min="7" max="7" width="7.75" style="7" customWidth="1"/>
    <col min="8" max="8" width="16.125" customWidth="1"/>
    <col min="9" max="9" width="13.25" bestFit="1" customWidth="1"/>
    <col min="10" max="10" width="13.2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55" t="s">
        <v>247</v>
      </c>
      <c r="B1" s="255"/>
      <c r="C1" s="256"/>
      <c r="D1" s="255"/>
      <c r="E1" s="255"/>
      <c r="F1" s="255"/>
      <c r="G1" s="256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"/>
    </row>
    <row r="2" spans="1:21" ht="24.75" customHeight="1" x14ac:dyDescent="0.3">
      <c r="A2" s="257" t="s">
        <v>53</v>
      </c>
      <c r="B2" s="257"/>
      <c r="D2" s="5"/>
      <c r="E2" s="5"/>
      <c r="F2" s="6"/>
      <c r="H2" s="182"/>
      <c r="I2" s="6"/>
      <c r="J2" s="6"/>
      <c r="K2" s="8" t="s">
        <v>149</v>
      </c>
      <c r="L2" s="8"/>
      <c r="M2" s="6"/>
      <c r="N2" s="6"/>
      <c r="O2" s="6"/>
      <c r="P2" s="6"/>
      <c r="Q2" s="6"/>
      <c r="R2" s="6"/>
      <c r="S2" s="6"/>
      <c r="U2" s="8" t="s">
        <v>53</v>
      </c>
    </row>
    <row r="3" spans="1:21" ht="24" customHeight="1" x14ac:dyDescent="0.3">
      <c r="A3" s="248" t="s">
        <v>77</v>
      </c>
      <c r="B3" s="248" t="s">
        <v>83</v>
      </c>
      <c r="C3" s="248" t="s">
        <v>100</v>
      </c>
      <c r="D3" s="251" t="s">
        <v>105</v>
      </c>
      <c r="E3" s="252"/>
      <c r="F3" s="237" t="s">
        <v>178</v>
      </c>
      <c r="G3" s="246" t="s">
        <v>167</v>
      </c>
      <c r="H3" s="247"/>
      <c r="I3" s="237" t="s">
        <v>191</v>
      </c>
      <c r="J3" s="237" t="s">
        <v>253</v>
      </c>
      <c r="K3" s="239" t="s">
        <v>88</v>
      </c>
      <c r="L3" s="239" t="s">
        <v>195</v>
      </c>
      <c r="M3" s="241"/>
      <c r="N3" s="242"/>
      <c r="O3" s="242"/>
      <c r="P3" s="242"/>
      <c r="Q3" s="242"/>
      <c r="R3" s="242"/>
      <c r="S3" s="243"/>
      <c r="T3" s="244"/>
      <c r="U3" s="235"/>
    </row>
    <row r="4" spans="1:21" ht="24" customHeight="1" x14ac:dyDescent="0.3">
      <c r="A4" s="249"/>
      <c r="B4" s="249"/>
      <c r="C4" s="249"/>
      <c r="D4" s="253"/>
      <c r="E4" s="254"/>
      <c r="F4" s="238"/>
      <c r="G4" s="9" t="s">
        <v>118</v>
      </c>
      <c r="H4" s="10" t="s">
        <v>90</v>
      </c>
      <c r="I4" s="238"/>
      <c r="J4" s="238"/>
      <c r="K4" s="240"/>
      <c r="L4" s="240"/>
      <c r="M4" s="10" t="s">
        <v>142</v>
      </c>
      <c r="N4" s="11" t="s">
        <v>200</v>
      </c>
      <c r="O4" s="10" t="s">
        <v>138</v>
      </c>
      <c r="P4" s="10" t="s">
        <v>216</v>
      </c>
      <c r="Q4" s="10" t="s">
        <v>197</v>
      </c>
      <c r="R4" s="10" t="s">
        <v>169</v>
      </c>
      <c r="S4" s="11" t="s">
        <v>205</v>
      </c>
      <c r="T4" s="245"/>
      <c r="U4" s="236"/>
    </row>
    <row r="5" spans="1:21" ht="30" customHeight="1" x14ac:dyDescent="0.3">
      <c r="A5" s="250"/>
      <c r="B5" s="250"/>
      <c r="C5" s="250"/>
      <c r="D5" s="12">
        <f t="shared" ref="D5:U5" si="0">SUM(D6:D34)</f>
        <v>59322000</v>
      </c>
      <c r="E5" s="12">
        <f t="shared" si="0"/>
        <v>711864000</v>
      </c>
      <c r="F5" s="12">
        <f t="shared" si="0"/>
        <v>71186400</v>
      </c>
      <c r="G5" s="12">
        <f t="shared" si="0"/>
        <v>620</v>
      </c>
      <c r="H5" s="12">
        <f t="shared" si="0"/>
        <v>100368540</v>
      </c>
      <c r="I5" s="12">
        <f t="shared" si="0"/>
        <v>6240000</v>
      </c>
      <c r="J5" s="12">
        <f t="shared" si="0"/>
        <v>57000</v>
      </c>
      <c r="K5" s="157">
        <f t="shared" si="0"/>
        <v>889715940</v>
      </c>
      <c r="L5" s="157" t="e">
        <f t="shared" si="0"/>
        <v>#REF!</v>
      </c>
      <c r="M5" s="12" t="e">
        <f t="shared" si="0"/>
        <v>#REF!</v>
      </c>
      <c r="N5" s="12" t="e">
        <f t="shared" si="0"/>
        <v>#REF!</v>
      </c>
      <c r="O5" s="12" t="e">
        <f t="shared" si="0"/>
        <v>#REF!</v>
      </c>
      <c r="P5" s="12" t="e">
        <f t="shared" si="0"/>
        <v>#REF!</v>
      </c>
      <c r="Q5" s="12" t="e">
        <f t="shared" si="0"/>
        <v>#REF!</v>
      </c>
      <c r="R5" s="12">
        <f t="shared" si="0"/>
        <v>71295240</v>
      </c>
      <c r="S5" s="12" t="e">
        <f t="shared" si="0"/>
        <v>#REF!</v>
      </c>
      <c r="T5" s="12" t="e">
        <f t="shared" si="0"/>
        <v>#REF!</v>
      </c>
      <c r="U5" s="13" t="e">
        <f t="shared" si="0"/>
        <v>#REF!</v>
      </c>
    </row>
    <row r="6" spans="1:21" ht="30" customHeight="1" x14ac:dyDescent="0.3">
      <c r="A6" s="14">
        <v>1</v>
      </c>
      <c r="B6" s="14" t="s">
        <v>130</v>
      </c>
      <c r="C6" s="15">
        <v>18</v>
      </c>
      <c r="D6" s="16">
        <v>3848000</v>
      </c>
      <c r="E6" s="16">
        <f t="shared" ref="E6:E34" si="1">D6*12</f>
        <v>46176000</v>
      </c>
      <c r="F6" s="16">
        <f t="shared" ref="F6:F34" si="2">D6*60%*2</f>
        <v>4617600</v>
      </c>
      <c r="G6" s="16"/>
      <c r="H6" s="16"/>
      <c r="I6" s="16">
        <f>80000*12</f>
        <v>960000</v>
      </c>
      <c r="J6" s="16"/>
      <c r="K6" s="158">
        <f t="shared" ref="K6:K34" si="3">E6+F6+H6+I6+J6</f>
        <v>51753600</v>
      </c>
      <c r="L6" s="158" t="e">
        <f>#REF!+120000</f>
        <v>#REF!</v>
      </c>
      <c r="M6" s="17" t="e">
        <f t="shared" ref="M6:M30" si="4">ROUNDDOWN(L6*2.995%,-1)</f>
        <v>#REF!</v>
      </c>
      <c r="N6" s="17" t="e">
        <f t="shared" ref="N6:N30" si="5">ROUNDDOWN(M6*6.55%,-1)</f>
        <v>#REF!</v>
      </c>
      <c r="O6" s="17" t="e">
        <f t="shared" ref="O6:O30" si="6">ROUNDDOWN(L6*0.045,-1)</f>
        <v>#REF!</v>
      </c>
      <c r="P6" s="17" t="e">
        <f t="shared" ref="P6:P30" si="7">ROUNDDOWN(L6*0.0056,-1)</f>
        <v>#REF!</v>
      </c>
      <c r="Q6" s="17" t="e">
        <f t="shared" ref="Q6:Q30" si="8">ROUNDDOWN(L6*0.009,-1)</f>
        <v>#REF!</v>
      </c>
      <c r="R6" s="17">
        <f t="shared" ref="R6:R30" si="9">ROUNDDOWN(K6/12,-1)</f>
        <v>4312800</v>
      </c>
      <c r="S6" s="17" t="e">
        <f t="shared" ref="S6:S30" si="10">SUM(M6:R6)</f>
        <v>#REF!</v>
      </c>
      <c r="T6" s="19" t="e">
        <f>#REF!+#REF!+S6-#REF!</f>
        <v>#REF!</v>
      </c>
      <c r="U6" s="20" t="e">
        <f>#REF!+#REF!+S6</f>
        <v>#REF!</v>
      </c>
    </row>
    <row r="7" spans="1:21" ht="30" customHeight="1" x14ac:dyDescent="0.3">
      <c r="A7" s="14">
        <v>2</v>
      </c>
      <c r="B7" s="14" t="s">
        <v>199</v>
      </c>
      <c r="C7" s="15">
        <v>20</v>
      </c>
      <c r="D7" s="16">
        <v>3610000</v>
      </c>
      <c r="E7" s="16">
        <f t="shared" si="1"/>
        <v>43320000</v>
      </c>
      <c r="F7" s="16">
        <f t="shared" si="2"/>
        <v>4332000</v>
      </c>
      <c r="G7" s="16">
        <v>8</v>
      </c>
      <c r="H7" s="16">
        <f t="shared" ref="H7:H34" si="11">ROUNDDOWN(E7*1/209*1.5*G7,-1)</f>
        <v>2487270</v>
      </c>
      <c r="I7" s="16">
        <f>40000*12</f>
        <v>480000</v>
      </c>
      <c r="J7" s="16"/>
      <c r="K7" s="158">
        <f t="shared" si="3"/>
        <v>50619270</v>
      </c>
      <c r="L7" s="158" t="e">
        <f>#REF!+120000</f>
        <v>#REF!</v>
      </c>
      <c r="M7" s="17" t="e">
        <f t="shared" si="4"/>
        <v>#REF!</v>
      </c>
      <c r="N7" s="17" t="e">
        <f t="shared" si="5"/>
        <v>#REF!</v>
      </c>
      <c r="O7" s="17" t="e">
        <f t="shared" si="6"/>
        <v>#REF!</v>
      </c>
      <c r="P7" s="17" t="e">
        <f t="shared" si="7"/>
        <v>#REF!</v>
      </c>
      <c r="Q7" s="17" t="e">
        <f t="shared" si="8"/>
        <v>#REF!</v>
      </c>
      <c r="R7" s="17">
        <f t="shared" si="9"/>
        <v>4218270</v>
      </c>
      <c r="S7" s="17" t="e">
        <f t="shared" si="10"/>
        <v>#REF!</v>
      </c>
      <c r="T7" s="19" t="e">
        <f>#REF!+#REF!+S7-#REF!</f>
        <v>#REF!</v>
      </c>
      <c r="U7" s="20" t="e">
        <f>#REF!+#REF!+S7</f>
        <v>#REF!</v>
      </c>
    </row>
    <row r="8" spans="1:21" ht="30" customHeight="1" x14ac:dyDescent="0.3">
      <c r="A8" s="14">
        <v>3</v>
      </c>
      <c r="B8" s="14" t="s">
        <v>183</v>
      </c>
      <c r="C8" s="15">
        <v>10</v>
      </c>
      <c r="D8" s="16">
        <v>2625000</v>
      </c>
      <c r="E8" s="16">
        <f t="shared" si="1"/>
        <v>31500000</v>
      </c>
      <c r="F8" s="16">
        <f t="shared" si="2"/>
        <v>3150000</v>
      </c>
      <c r="G8" s="16">
        <v>8</v>
      </c>
      <c r="H8" s="16">
        <f t="shared" si="11"/>
        <v>1808610</v>
      </c>
      <c r="I8" s="16">
        <f>80000*12</f>
        <v>960000</v>
      </c>
      <c r="J8" s="16"/>
      <c r="K8" s="158">
        <f t="shared" si="3"/>
        <v>37418610</v>
      </c>
      <c r="L8" s="158" t="e">
        <f>#REF!+120000</f>
        <v>#REF!</v>
      </c>
      <c r="M8" s="17" t="e">
        <f t="shared" si="4"/>
        <v>#REF!</v>
      </c>
      <c r="N8" s="17" t="e">
        <f t="shared" si="5"/>
        <v>#REF!</v>
      </c>
      <c r="O8" s="17" t="e">
        <f t="shared" si="6"/>
        <v>#REF!</v>
      </c>
      <c r="P8" s="17" t="e">
        <f t="shared" si="7"/>
        <v>#REF!</v>
      </c>
      <c r="Q8" s="17" t="e">
        <f t="shared" si="8"/>
        <v>#REF!</v>
      </c>
      <c r="R8" s="17">
        <f t="shared" si="9"/>
        <v>3118210</v>
      </c>
      <c r="S8" s="17" t="e">
        <f t="shared" si="10"/>
        <v>#REF!</v>
      </c>
      <c r="T8" s="19" t="e">
        <f>#REF!+#REF!+S8-#REF!</f>
        <v>#REF!</v>
      </c>
      <c r="U8" s="20" t="e">
        <f>#REF!+#REF!+S8</f>
        <v>#REF!</v>
      </c>
    </row>
    <row r="9" spans="1:21" ht="30" customHeight="1" x14ac:dyDescent="0.3">
      <c r="A9" s="14">
        <v>4</v>
      </c>
      <c r="B9" s="21" t="s">
        <v>94</v>
      </c>
      <c r="C9" s="15">
        <v>6</v>
      </c>
      <c r="D9" s="16">
        <v>2224000</v>
      </c>
      <c r="E9" s="16">
        <f t="shared" si="1"/>
        <v>26688000</v>
      </c>
      <c r="F9" s="16">
        <f t="shared" si="2"/>
        <v>2668800</v>
      </c>
      <c r="G9" s="16">
        <v>8</v>
      </c>
      <c r="H9" s="16">
        <f t="shared" si="11"/>
        <v>1532320</v>
      </c>
      <c r="I9" s="16">
        <f>40000*12</f>
        <v>480000</v>
      </c>
      <c r="J9" s="16"/>
      <c r="K9" s="158">
        <f t="shared" si="3"/>
        <v>31369120</v>
      </c>
      <c r="L9" s="158" t="e">
        <f>#REF!+120000</f>
        <v>#REF!</v>
      </c>
      <c r="M9" s="17" t="e">
        <f t="shared" si="4"/>
        <v>#REF!</v>
      </c>
      <c r="N9" s="17" t="e">
        <f t="shared" si="5"/>
        <v>#REF!</v>
      </c>
      <c r="O9" s="17" t="e">
        <f t="shared" si="6"/>
        <v>#REF!</v>
      </c>
      <c r="P9" s="17" t="e">
        <f t="shared" si="7"/>
        <v>#REF!</v>
      </c>
      <c r="Q9" s="17" t="e">
        <f t="shared" si="8"/>
        <v>#REF!</v>
      </c>
      <c r="R9" s="17">
        <f t="shared" si="9"/>
        <v>2614090</v>
      </c>
      <c r="S9" s="17" t="e">
        <f t="shared" si="10"/>
        <v>#REF!</v>
      </c>
      <c r="T9" s="19" t="e">
        <f>#REF!+#REF!+S9-#REF!</f>
        <v>#REF!</v>
      </c>
      <c r="U9" s="20" t="e">
        <f>#REF!+#REF!+S9</f>
        <v>#REF!</v>
      </c>
    </row>
    <row r="10" spans="1:21" ht="30" customHeight="1" x14ac:dyDescent="0.3">
      <c r="A10" s="14">
        <v>5</v>
      </c>
      <c r="B10" s="21" t="s">
        <v>208</v>
      </c>
      <c r="C10" s="15">
        <v>6</v>
      </c>
      <c r="D10" s="16">
        <v>2224000</v>
      </c>
      <c r="E10" s="16">
        <f t="shared" si="1"/>
        <v>26688000</v>
      </c>
      <c r="F10" s="16">
        <f t="shared" si="2"/>
        <v>2668800</v>
      </c>
      <c r="G10" s="16">
        <v>8</v>
      </c>
      <c r="H10" s="16">
        <f t="shared" si="11"/>
        <v>1532320</v>
      </c>
      <c r="I10" s="16"/>
      <c r="J10" s="16"/>
      <c r="K10" s="158">
        <f t="shared" si="3"/>
        <v>30889120</v>
      </c>
      <c r="L10" s="158" t="e">
        <f>#REF!+120000</f>
        <v>#REF!</v>
      </c>
      <c r="M10" s="17" t="e">
        <f t="shared" si="4"/>
        <v>#REF!</v>
      </c>
      <c r="N10" s="17" t="e">
        <f t="shared" si="5"/>
        <v>#REF!</v>
      </c>
      <c r="O10" s="17" t="e">
        <f t="shared" si="6"/>
        <v>#REF!</v>
      </c>
      <c r="P10" s="17" t="e">
        <f t="shared" si="7"/>
        <v>#REF!</v>
      </c>
      <c r="Q10" s="17" t="e">
        <f t="shared" si="8"/>
        <v>#REF!</v>
      </c>
      <c r="R10" s="17">
        <f t="shared" si="9"/>
        <v>2574090</v>
      </c>
      <c r="S10" s="17" t="e">
        <f t="shared" si="10"/>
        <v>#REF!</v>
      </c>
      <c r="T10" s="19" t="e">
        <f>#REF!+#REF!+S10-#REF!</f>
        <v>#REF!</v>
      </c>
      <c r="U10" s="20" t="e">
        <f>#REF!+#REF!+S10</f>
        <v>#REF!</v>
      </c>
    </row>
    <row r="11" spans="1:21" ht="30" customHeight="1" x14ac:dyDescent="0.3">
      <c r="A11" s="14">
        <v>6</v>
      </c>
      <c r="B11" s="21" t="s">
        <v>181</v>
      </c>
      <c r="C11" s="15">
        <v>6</v>
      </c>
      <c r="D11" s="16">
        <v>2224000</v>
      </c>
      <c r="E11" s="16">
        <f t="shared" si="1"/>
        <v>26688000</v>
      </c>
      <c r="F11" s="16">
        <f t="shared" si="2"/>
        <v>2668800</v>
      </c>
      <c r="G11" s="16">
        <v>8</v>
      </c>
      <c r="H11" s="16">
        <f t="shared" si="11"/>
        <v>1532320</v>
      </c>
      <c r="I11" s="16"/>
      <c r="J11" s="16"/>
      <c r="K11" s="158">
        <f t="shared" si="3"/>
        <v>30889120</v>
      </c>
      <c r="L11" s="158" t="e">
        <f>#REF!+120000</f>
        <v>#REF!</v>
      </c>
      <c r="M11" s="17" t="e">
        <f t="shared" si="4"/>
        <v>#REF!</v>
      </c>
      <c r="N11" s="17" t="e">
        <f t="shared" si="5"/>
        <v>#REF!</v>
      </c>
      <c r="O11" s="17" t="e">
        <f t="shared" si="6"/>
        <v>#REF!</v>
      </c>
      <c r="P11" s="17" t="e">
        <f t="shared" si="7"/>
        <v>#REF!</v>
      </c>
      <c r="Q11" s="17" t="e">
        <f t="shared" si="8"/>
        <v>#REF!</v>
      </c>
      <c r="R11" s="17">
        <f t="shared" si="9"/>
        <v>2574090</v>
      </c>
      <c r="S11" s="17" t="e">
        <f t="shared" si="10"/>
        <v>#REF!</v>
      </c>
      <c r="T11" s="19" t="e">
        <f>#REF!+#REF!+S11-#REF!</f>
        <v>#REF!</v>
      </c>
      <c r="U11" s="20" t="e">
        <f>#REF!+#REF!+S11</f>
        <v>#REF!</v>
      </c>
    </row>
    <row r="12" spans="1:21" ht="30" customHeight="1" x14ac:dyDescent="0.3">
      <c r="A12" s="14">
        <v>7</v>
      </c>
      <c r="B12" s="14" t="s">
        <v>85</v>
      </c>
      <c r="C12" s="15">
        <v>23</v>
      </c>
      <c r="D12" s="16">
        <v>2875000</v>
      </c>
      <c r="E12" s="16">
        <f t="shared" si="1"/>
        <v>34500000</v>
      </c>
      <c r="F12" s="16">
        <f t="shared" si="2"/>
        <v>3450000</v>
      </c>
      <c r="G12" s="16">
        <v>8</v>
      </c>
      <c r="H12" s="16">
        <f t="shared" si="11"/>
        <v>1980860</v>
      </c>
      <c r="I12" s="16"/>
      <c r="J12" s="16"/>
      <c r="K12" s="158">
        <f t="shared" si="3"/>
        <v>39930860</v>
      </c>
      <c r="L12" s="158" t="e">
        <f>#REF!+120000</f>
        <v>#REF!</v>
      </c>
      <c r="M12" s="17" t="e">
        <f t="shared" si="4"/>
        <v>#REF!</v>
      </c>
      <c r="N12" s="17" t="e">
        <f t="shared" si="5"/>
        <v>#REF!</v>
      </c>
      <c r="O12" s="17" t="e">
        <f t="shared" si="6"/>
        <v>#REF!</v>
      </c>
      <c r="P12" s="17" t="e">
        <f t="shared" si="7"/>
        <v>#REF!</v>
      </c>
      <c r="Q12" s="17" t="e">
        <f t="shared" si="8"/>
        <v>#REF!</v>
      </c>
      <c r="R12" s="17">
        <f t="shared" si="9"/>
        <v>3327570</v>
      </c>
      <c r="S12" s="17" t="e">
        <f t="shared" si="10"/>
        <v>#REF!</v>
      </c>
      <c r="T12" s="19" t="e">
        <f>#REF!+#REF!+S12-#REF!</f>
        <v>#REF!</v>
      </c>
      <c r="U12" s="20" t="e">
        <f>#REF!+#REF!+S12</f>
        <v>#REF!</v>
      </c>
    </row>
    <row r="13" spans="1:21" ht="30" customHeight="1" x14ac:dyDescent="0.3">
      <c r="A13" s="14">
        <v>8</v>
      </c>
      <c r="B13" s="21" t="s">
        <v>87</v>
      </c>
      <c r="C13" s="15">
        <v>14</v>
      </c>
      <c r="D13" s="16">
        <v>2440000</v>
      </c>
      <c r="E13" s="16">
        <f t="shared" si="1"/>
        <v>29280000</v>
      </c>
      <c r="F13" s="16">
        <f t="shared" si="2"/>
        <v>2928000</v>
      </c>
      <c r="G13" s="22">
        <v>8</v>
      </c>
      <c r="H13" s="16">
        <f t="shared" si="11"/>
        <v>1681140</v>
      </c>
      <c r="I13" s="16">
        <f>60000*12</f>
        <v>720000</v>
      </c>
      <c r="J13" s="16"/>
      <c r="K13" s="158">
        <f t="shared" si="3"/>
        <v>34609140</v>
      </c>
      <c r="L13" s="158" t="e">
        <f>#REF!+120000</f>
        <v>#REF!</v>
      </c>
      <c r="M13" s="17" t="e">
        <f t="shared" si="4"/>
        <v>#REF!</v>
      </c>
      <c r="N13" s="17" t="e">
        <f t="shared" si="5"/>
        <v>#REF!</v>
      </c>
      <c r="O13" s="17" t="e">
        <f t="shared" si="6"/>
        <v>#REF!</v>
      </c>
      <c r="P13" s="17" t="e">
        <f t="shared" si="7"/>
        <v>#REF!</v>
      </c>
      <c r="Q13" s="17" t="e">
        <f t="shared" si="8"/>
        <v>#REF!</v>
      </c>
      <c r="R13" s="17">
        <f t="shared" si="9"/>
        <v>2884090</v>
      </c>
      <c r="S13" s="17" t="e">
        <f t="shared" si="10"/>
        <v>#REF!</v>
      </c>
      <c r="T13" s="19" t="e">
        <f>#REF!+#REF!+S13-#REF!</f>
        <v>#REF!</v>
      </c>
      <c r="U13" s="20" t="e">
        <f>#REF!+#REF!+S13</f>
        <v>#REF!</v>
      </c>
    </row>
    <row r="14" spans="1:21" ht="30" customHeight="1" x14ac:dyDescent="0.3">
      <c r="A14" s="14">
        <v>9</v>
      </c>
      <c r="B14" s="21" t="s">
        <v>202</v>
      </c>
      <c r="C14" s="15">
        <v>4</v>
      </c>
      <c r="D14" s="16">
        <v>1799000</v>
      </c>
      <c r="E14" s="16">
        <f t="shared" si="1"/>
        <v>21588000</v>
      </c>
      <c r="F14" s="16">
        <f t="shared" si="2"/>
        <v>2158800</v>
      </c>
      <c r="G14" s="16">
        <v>8</v>
      </c>
      <c r="H14" s="16">
        <f t="shared" si="11"/>
        <v>1239500</v>
      </c>
      <c r="I14" s="16">
        <f>40000*12</f>
        <v>480000</v>
      </c>
      <c r="J14" s="194">
        <v>27000</v>
      </c>
      <c r="K14" s="158">
        <f t="shared" si="3"/>
        <v>25493300</v>
      </c>
      <c r="L14" s="158" t="e">
        <f>#REF!+120000</f>
        <v>#REF!</v>
      </c>
      <c r="M14" s="17" t="e">
        <f t="shared" si="4"/>
        <v>#REF!</v>
      </c>
      <c r="N14" s="17" t="e">
        <f t="shared" si="5"/>
        <v>#REF!</v>
      </c>
      <c r="O14" s="17" t="e">
        <f t="shared" si="6"/>
        <v>#REF!</v>
      </c>
      <c r="P14" s="17" t="e">
        <f t="shared" si="7"/>
        <v>#REF!</v>
      </c>
      <c r="Q14" s="17" t="e">
        <f t="shared" si="8"/>
        <v>#REF!</v>
      </c>
      <c r="R14" s="17">
        <f t="shared" si="9"/>
        <v>2124440</v>
      </c>
      <c r="S14" s="17" t="e">
        <f t="shared" si="10"/>
        <v>#REF!</v>
      </c>
      <c r="T14" s="19" t="e">
        <f>#REF!+#REF!+S14-#REF!</f>
        <v>#REF!</v>
      </c>
      <c r="U14" s="20" t="e">
        <f>#REF!+#REF!+S14</f>
        <v>#REF!</v>
      </c>
    </row>
    <row r="15" spans="1:21" ht="30" customHeight="1" x14ac:dyDescent="0.3">
      <c r="A15" s="14">
        <v>10</v>
      </c>
      <c r="B15" s="21" t="s">
        <v>179</v>
      </c>
      <c r="C15" s="15">
        <v>2</v>
      </c>
      <c r="D15" s="16">
        <v>1690000</v>
      </c>
      <c r="E15" s="16">
        <f t="shared" si="1"/>
        <v>20280000</v>
      </c>
      <c r="F15" s="16">
        <f t="shared" si="2"/>
        <v>2028000</v>
      </c>
      <c r="G15" s="16">
        <v>8</v>
      </c>
      <c r="H15" s="16">
        <f t="shared" si="11"/>
        <v>1164400</v>
      </c>
      <c r="I15" s="16"/>
      <c r="J15" s="16"/>
      <c r="K15" s="158">
        <f t="shared" si="3"/>
        <v>23472400</v>
      </c>
      <c r="L15" s="158" t="e">
        <f>#REF!+120000</f>
        <v>#REF!</v>
      </c>
      <c r="M15" s="17" t="e">
        <f t="shared" si="4"/>
        <v>#REF!</v>
      </c>
      <c r="N15" s="17" t="e">
        <f t="shared" si="5"/>
        <v>#REF!</v>
      </c>
      <c r="O15" s="17" t="e">
        <f t="shared" si="6"/>
        <v>#REF!</v>
      </c>
      <c r="P15" s="17" t="e">
        <f t="shared" si="7"/>
        <v>#REF!</v>
      </c>
      <c r="Q15" s="17" t="e">
        <f t="shared" si="8"/>
        <v>#REF!</v>
      </c>
      <c r="R15" s="17">
        <f t="shared" si="9"/>
        <v>1956030</v>
      </c>
      <c r="S15" s="17" t="e">
        <f t="shared" si="10"/>
        <v>#REF!</v>
      </c>
      <c r="T15" s="19" t="e">
        <f>#REF!+#REF!+S15-#REF!</f>
        <v>#REF!</v>
      </c>
      <c r="U15" s="20" t="e">
        <f>#REF!+#REF!+S15</f>
        <v>#REF!</v>
      </c>
    </row>
    <row r="16" spans="1:21" ht="30" customHeight="1" x14ac:dyDescent="0.3">
      <c r="A16" s="14">
        <v>11</v>
      </c>
      <c r="B16" s="21" t="s">
        <v>272</v>
      </c>
      <c r="C16" s="15">
        <v>12</v>
      </c>
      <c r="D16" s="16">
        <v>2539000</v>
      </c>
      <c r="E16" s="16">
        <f t="shared" si="1"/>
        <v>30468000</v>
      </c>
      <c r="F16" s="16">
        <f t="shared" si="2"/>
        <v>3046800</v>
      </c>
      <c r="G16" s="16">
        <v>30</v>
      </c>
      <c r="H16" s="16">
        <f t="shared" si="11"/>
        <v>6560090</v>
      </c>
      <c r="I16" s="16"/>
      <c r="J16" s="16"/>
      <c r="K16" s="158">
        <f t="shared" si="3"/>
        <v>40074890</v>
      </c>
      <c r="L16" s="158" t="e">
        <f>#REF!+120000</f>
        <v>#REF!</v>
      </c>
      <c r="M16" s="17" t="e">
        <f t="shared" si="4"/>
        <v>#REF!</v>
      </c>
      <c r="N16" s="17" t="e">
        <f t="shared" si="5"/>
        <v>#REF!</v>
      </c>
      <c r="O16" s="17" t="e">
        <f t="shared" si="6"/>
        <v>#REF!</v>
      </c>
      <c r="P16" s="17" t="e">
        <f t="shared" si="7"/>
        <v>#REF!</v>
      </c>
      <c r="Q16" s="17" t="e">
        <f t="shared" si="8"/>
        <v>#REF!</v>
      </c>
      <c r="R16" s="17">
        <f t="shared" si="9"/>
        <v>3339570</v>
      </c>
      <c r="S16" s="17" t="e">
        <f t="shared" si="10"/>
        <v>#REF!</v>
      </c>
      <c r="T16" s="19" t="e">
        <f>#REF!+#REF!+S16-#REF!</f>
        <v>#REF!</v>
      </c>
      <c r="U16" s="20" t="e">
        <f>#REF!+#REF!+S16</f>
        <v>#REF!</v>
      </c>
    </row>
    <row r="17" spans="1:21" ht="30" customHeight="1" x14ac:dyDescent="0.3">
      <c r="A17" s="14">
        <v>12</v>
      </c>
      <c r="B17" s="21" t="s">
        <v>132</v>
      </c>
      <c r="C17" s="15">
        <v>6</v>
      </c>
      <c r="D17" s="16">
        <v>1964000</v>
      </c>
      <c r="E17" s="16">
        <f t="shared" si="1"/>
        <v>23568000</v>
      </c>
      <c r="F17" s="16">
        <f t="shared" si="2"/>
        <v>2356800</v>
      </c>
      <c r="G17" s="16">
        <v>30</v>
      </c>
      <c r="H17" s="16">
        <f t="shared" si="11"/>
        <v>5074440</v>
      </c>
      <c r="I17" s="16">
        <f>40000*12</f>
        <v>480000</v>
      </c>
      <c r="J17" s="16"/>
      <c r="K17" s="158">
        <f t="shared" si="3"/>
        <v>31479240</v>
      </c>
      <c r="L17" s="158" t="e">
        <f>#REF!+120000</f>
        <v>#REF!</v>
      </c>
      <c r="M17" s="17" t="e">
        <f t="shared" si="4"/>
        <v>#REF!</v>
      </c>
      <c r="N17" s="17" t="e">
        <f t="shared" si="5"/>
        <v>#REF!</v>
      </c>
      <c r="O17" s="17" t="e">
        <f t="shared" si="6"/>
        <v>#REF!</v>
      </c>
      <c r="P17" s="17" t="e">
        <f t="shared" si="7"/>
        <v>#REF!</v>
      </c>
      <c r="Q17" s="17" t="e">
        <f t="shared" si="8"/>
        <v>#REF!</v>
      </c>
      <c r="R17" s="17">
        <f t="shared" si="9"/>
        <v>2623270</v>
      </c>
      <c r="S17" s="17" t="e">
        <f t="shared" si="10"/>
        <v>#REF!</v>
      </c>
      <c r="T17" s="19" t="e">
        <f>#REF!+#REF!+S17-#REF!</f>
        <v>#REF!</v>
      </c>
      <c r="U17" s="20" t="e">
        <f>#REF!+#REF!+S17</f>
        <v>#REF!</v>
      </c>
    </row>
    <row r="18" spans="1:21" ht="30" customHeight="1" x14ac:dyDescent="0.3">
      <c r="A18" s="14">
        <v>13</v>
      </c>
      <c r="B18" s="21" t="s">
        <v>204</v>
      </c>
      <c r="C18" s="15">
        <v>7</v>
      </c>
      <c r="D18" s="16">
        <v>2014000</v>
      </c>
      <c r="E18" s="16">
        <f t="shared" si="1"/>
        <v>24168000</v>
      </c>
      <c r="F18" s="16">
        <f t="shared" si="2"/>
        <v>2416800</v>
      </c>
      <c r="G18" s="16">
        <v>30</v>
      </c>
      <c r="H18" s="16">
        <f t="shared" si="11"/>
        <v>5203630</v>
      </c>
      <c r="I18" s="16"/>
      <c r="J18" s="16"/>
      <c r="K18" s="158">
        <f t="shared" si="3"/>
        <v>31788430</v>
      </c>
      <c r="L18" s="158" t="e">
        <f>#REF!+120000</f>
        <v>#REF!</v>
      </c>
      <c r="M18" s="17" t="e">
        <f t="shared" si="4"/>
        <v>#REF!</v>
      </c>
      <c r="N18" s="17" t="e">
        <f t="shared" si="5"/>
        <v>#REF!</v>
      </c>
      <c r="O18" s="17" t="e">
        <f t="shared" si="6"/>
        <v>#REF!</v>
      </c>
      <c r="P18" s="17" t="e">
        <f t="shared" si="7"/>
        <v>#REF!</v>
      </c>
      <c r="Q18" s="17" t="e">
        <f t="shared" si="8"/>
        <v>#REF!</v>
      </c>
      <c r="R18" s="17">
        <f t="shared" si="9"/>
        <v>2649030</v>
      </c>
      <c r="S18" s="17" t="e">
        <f t="shared" si="10"/>
        <v>#REF!</v>
      </c>
      <c r="T18" s="19" t="e">
        <f>#REF!+#REF!+S18-#REF!</f>
        <v>#REF!</v>
      </c>
      <c r="U18" s="20" t="e">
        <f>#REF!+#REF!+S18</f>
        <v>#REF!</v>
      </c>
    </row>
    <row r="19" spans="1:21" ht="30" customHeight="1" x14ac:dyDescent="0.3">
      <c r="A19" s="14">
        <v>14</v>
      </c>
      <c r="B19" s="21" t="s">
        <v>172</v>
      </c>
      <c r="C19" s="15">
        <v>9</v>
      </c>
      <c r="D19" s="16">
        <v>2165000</v>
      </c>
      <c r="E19" s="16">
        <f t="shared" si="1"/>
        <v>25980000</v>
      </c>
      <c r="F19" s="16">
        <f t="shared" si="2"/>
        <v>2598000</v>
      </c>
      <c r="G19" s="16">
        <v>30</v>
      </c>
      <c r="H19" s="16">
        <f t="shared" si="11"/>
        <v>5593770</v>
      </c>
      <c r="I19" s="16"/>
      <c r="J19" s="16"/>
      <c r="K19" s="158">
        <f t="shared" si="3"/>
        <v>34171770</v>
      </c>
      <c r="L19" s="158" t="e">
        <f>#REF!+120000</f>
        <v>#REF!</v>
      </c>
      <c r="M19" s="17" t="e">
        <f t="shared" si="4"/>
        <v>#REF!</v>
      </c>
      <c r="N19" s="17" t="e">
        <f t="shared" si="5"/>
        <v>#REF!</v>
      </c>
      <c r="O19" s="17" t="e">
        <f t="shared" si="6"/>
        <v>#REF!</v>
      </c>
      <c r="P19" s="17" t="e">
        <f t="shared" si="7"/>
        <v>#REF!</v>
      </c>
      <c r="Q19" s="17" t="e">
        <f t="shared" si="8"/>
        <v>#REF!</v>
      </c>
      <c r="R19" s="17">
        <f t="shared" si="9"/>
        <v>2847640</v>
      </c>
      <c r="S19" s="17" t="e">
        <f t="shared" si="10"/>
        <v>#REF!</v>
      </c>
      <c r="T19" s="19" t="e">
        <f>#REF!+#REF!+S19-#REF!</f>
        <v>#REF!</v>
      </c>
      <c r="U19" s="20" t="e">
        <f>#REF!+#REF!+S19</f>
        <v>#REF!</v>
      </c>
    </row>
    <row r="20" spans="1:21" ht="30" customHeight="1" x14ac:dyDescent="0.3">
      <c r="A20" s="14">
        <v>15</v>
      </c>
      <c r="B20" s="21" t="s">
        <v>186</v>
      </c>
      <c r="C20" s="15">
        <v>4</v>
      </c>
      <c r="D20" s="16">
        <v>1799000</v>
      </c>
      <c r="E20" s="16">
        <f t="shared" si="1"/>
        <v>21588000</v>
      </c>
      <c r="F20" s="16">
        <f t="shared" si="2"/>
        <v>2158800</v>
      </c>
      <c r="G20" s="16">
        <v>30</v>
      </c>
      <c r="H20" s="16">
        <f t="shared" si="11"/>
        <v>4648130</v>
      </c>
      <c r="I20" s="16"/>
      <c r="J20" s="16"/>
      <c r="K20" s="158">
        <f t="shared" si="3"/>
        <v>28394930</v>
      </c>
      <c r="L20" s="158" t="e">
        <f>#REF!+120000</f>
        <v>#REF!</v>
      </c>
      <c r="M20" s="17" t="e">
        <f t="shared" si="4"/>
        <v>#REF!</v>
      </c>
      <c r="N20" s="17" t="e">
        <f t="shared" si="5"/>
        <v>#REF!</v>
      </c>
      <c r="O20" s="17" t="e">
        <f t="shared" si="6"/>
        <v>#REF!</v>
      </c>
      <c r="P20" s="17" t="e">
        <f t="shared" si="7"/>
        <v>#REF!</v>
      </c>
      <c r="Q20" s="17" t="e">
        <f t="shared" si="8"/>
        <v>#REF!</v>
      </c>
      <c r="R20" s="17">
        <f t="shared" si="9"/>
        <v>2366240</v>
      </c>
      <c r="S20" s="17" t="e">
        <f t="shared" si="10"/>
        <v>#REF!</v>
      </c>
      <c r="T20" s="19" t="e">
        <f>#REF!+#REF!+S20-#REF!</f>
        <v>#REF!</v>
      </c>
      <c r="U20" s="20" t="e">
        <f>#REF!+#REF!+S20</f>
        <v>#REF!</v>
      </c>
    </row>
    <row r="21" spans="1:21" ht="30" customHeight="1" x14ac:dyDescent="0.3">
      <c r="A21" s="14">
        <v>16</v>
      </c>
      <c r="B21" s="21" t="s">
        <v>214</v>
      </c>
      <c r="C21" s="15">
        <v>4</v>
      </c>
      <c r="D21" s="16">
        <v>1799000</v>
      </c>
      <c r="E21" s="16">
        <f t="shared" si="1"/>
        <v>21588000</v>
      </c>
      <c r="F21" s="16">
        <f t="shared" si="2"/>
        <v>2158800</v>
      </c>
      <c r="G21" s="16">
        <v>30</v>
      </c>
      <c r="H21" s="16">
        <f t="shared" si="11"/>
        <v>4648130</v>
      </c>
      <c r="I21" s="16"/>
      <c r="J21" s="16"/>
      <c r="K21" s="158">
        <f t="shared" si="3"/>
        <v>28394930</v>
      </c>
      <c r="L21" s="158" t="e">
        <f>#REF!+120000</f>
        <v>#REF!</v>
      </c>
      <c r="M21" s="17" t="e">
        <f t="shared" si="4"/>
        <v>#REF!</v>
      </c>
      <c r="N21" s="17" t="e">
        <f t="shared" si="5"/>
        <v>#REF!</v>
      </c>
      <c r="O21" s="17" t="e">
        <f t="shared" si="6"/>
        <v>#REF!</v>
      </c>
      <c r="P21" s="17" t="e">
        <f t="shared" si="7"/>
        <v>#REF!</v>
      </c>
      <c r="Q21" s="17" t="e">
        <f t="shared" si="8"/>
        <v>#REF!</v>
      </c>
      <c r="R21" s="17">
        <f t="shared" si="9"/>
        <v>2366240</v>
      </c>
      <c r="S21" s="17" t="e">
        <f t="shared" si="10"/>
        <v>#REF!</v>
      </c>
      <c r="T21" s="19" t="e">
        <f>#REF!+#REF!+S21-#REF!</f>
        <v>#REF!</v>
      </c>
      <c r="U21" s="20" t="e">
        <f>#REF!+#REF!+S21</f>
        <v>#REF!</v>
      </c>
    </row>
    <row r="22" spans="1:21" ht="30" customHeight="1" x14ac:dyDescent="0.3">
      <c r="A22" s="14">
        <v>17</v>
      </c>
      <c r="B22" s="21" t="s">
        <v>207</v>
      </c>
      <c r="C22" s="15">
        <v>4</v>
      </c>
      <c r="D22" s="16">
        <v>1799000</v>
      </c>
      <c r="E22" s="16">
        <f t="shared" si="1"/>
        <v>21588000</v>
      </c>
      <c r="F22" s="16">
        <f t="shared" si="2"/>
        <v>2158800</v>
      </c>
      <c r="G22" s="16">
        <v>30</v>
      </c>
      <c r="H22" s="16">
        <f t="shared" si="11"/>
        <v>4648130</v>
      </c>
      <c r="I22" s="16"/>
      <c r="J22" s="16"/>
      <c r="K22" s="158">
        <f t="shared" si="3"/>
        <v>28394930</v>
      </c>
      <c r="L22" s="158" t="e">
        <f>#REF!+120000</f>
        <v>#REF!</v>
      </c>
      <c r="M22" s="17" t="e">
        <f t="shared" si="4"/>
        <v>#REF!</v>
      </c>
      <c r="N22" s="17" t="e">
        <f t="shared" si="5"/>
        <v>#REF!</v>
      </c>
      <c r="O22" s="17" t="e">
        <f t="shared" si="6"/>
        <v>#REF!</v>
      </c>
      <c r="P22" s="17" t="e">
        <f t="shared" si="7"/>
        <v>#REF!</v>
      </c>
      <c r="Q22" s="17" t="e">
        <f t="shared" si="8"/>
        <v>#REF!</v>
      </c>
      <c r="R22" s="17">
        <f t="shared" si="9"/>
        <v>2366240</v>
      </c>
      <c r="S22" s="17" t="e">
        <f t="shared" si="10"/>
        <v>#REF!</v>
      </c>
      <c r="T22" s="19" t="e">
        <f>#REF!+#REF!+S22-#REF!</f>
        <v>#REF!</v>
      </c>
      <c r="U22" s="20" t="e">
        <f>#REF!+#REF!+S22</f>
        <v>#REF!</v>
      </c>
    </row>
    <row r="23" spans="1:21" ht="30" customHeight="1" x14ac:dyDescent="0.3">
      <c r="A23" s="14">
        <v>18</v>
      </c>
      <c r="B23" s="21" t="s">
        <v>148</v>
      </c>
      <c r="C23" s="15">
        <v>4</v>
      </c>
      <c r="D23" s="16">
        <v>1799000</v>
      </c>
      <c r="E23" s="16">
        <f t="shared" si="1"/>
        <v>21588000</v>
      </c>
      <c r="F23" s="16">
        <f t="shared" si="2"/>
        <v>2158800</v>
      </c>
      <c r="G23" s="16">
        <v>30</v>
      </c>
      <c r="H23" s="16">
        <f t="shared" si="11"/>
        <v>4648130</v>
      </c>
      <c r="I23" s="16"/>
      <c r="J23" s="16"/>
      <c r="K23" s="158">
        <f t="shared" si="3"/>
        <v>28394930</v>
      </c>
      <c r="L23" s="158" t="e">
        <f>#REF!+120000</f>
        <v>#REF!</v>
      </c>
      <c r="M23" s="17" t="e">
        <f t="shared" si="4"/>
        <v>#REF!</v>
      </c>
      <c r="N23" s="17" t="e">
        <f t="shared" si="5"/>
        <v>#REF!</v>
      </c>
      <c r="O23" s="17" t="e">
        <f t="shared" si="6"/>
        <v>#REF!</v>
      </c>
      <c r="P23" s="17" t="e">
        <f t="shared" si="7"/>
        <v>#REF!</v>
      </c>
      <c r="Q23" s="17" t="e">
        <f t="shared" si="8"/>
        <v>#REF!</v>
      </c>
      <c r="R23" s="17">
        <f t="shared" si="9"/>
        <v>2366240</v>
      </c>
      <c r="S23" s="17" t="e">
        <f t="shared" si="10"/>
        <v>#REF!</v>
      </c>
      <c r="T23" s="19" t="e">
        <f>#REF!+#REF!+S23-#REF!</f>
        <v>#REF!</v>
      </c>
      <c r="U23" s="20" t="e">
        <f>#REF!+#REF!+S23</f>
        <v>#REF!</v>
      </c>
    </row>
    <row r="24" spans="1:21" ht="30" customHeight="1" x14ac:dyDescent="0.3">
      <c r="A24" s="14">
        <v>19</v>
      </c>
      <c r="B24" s="21" t="s">
        <v>189</v>
      </c>
      <c r="C24" s="15">
        <v>2</v>
      </c>
      <c r="D24" s="16">
        <v>1690000</v>
      </c>
      <c r="E24" s="16">
        <f t="shared" si="1"/>
        <v>20280000</v>
      </c>
      <c r="F24" s="16">
        <f t="shared" si="2"/>
        <v>2028000</v>
      </c>
      <c r="G24" s="16">
        <v>30</v>
      </c>
      <c r="H24" s="16">
        <f t="shared" si="11"/>
        <v>4366500</v>
      </c>
      <c r="I24" s="16">
        <f>20000*12</f>
        <v>240000</v>
      </c>
      <c r="J24" s="16"/>
      <c r="K24" s="158">
        <f t="shared" si="3"/>
        <v>26914500</v>
      </c>
      <c r="L24" s="158" t="e">
        <f>#REF!+120000</f>
        <v>#REF!</v>
      </c>
      <c r="M24" s="17" t="e">
        <f t="shared" si="4"/>
        <v>#REF!</v>
      </c>
      <c r="N24" s="17" t="e">
        <f t="shared" si="5"/>
        <v>#REF!</v>
      </c>
      <c r="O24" s="17" t="e">
        <f t="shared" si="6"/>
        <v>#REF!</v>
      </c>
      <c r="P24" s="17" t="e">
        <f t="shared" si="7"/>
        <v>#REF!</v>
      </c>
      <c r="Q24" s="17" t="e">
        <f t="shared" si="8"/>
        <v>#REF!</v>
      </c>
      <c r="R24" s="17">
        <f t="shared" si="9"/>
        <v>2242870</v>
      </c>
      <c r="S24" s="17" t="e">
        <f t="shared" si="10"/>
        <v>#REF!</v>
      </c>
      <c r="T24" s="19" t="e">
        <f>#REF!+#REF!+S24-#REF!</f>
        <v>#REF!</v>
      </c>
      <c r="U24" s="20" t="e">
        <f>#REF!+#REF!+S24</f>
        <v>#REF!</v>
      </c>
    </row>
    <row r="25" spans="1:21" ht="30" customHeight="1" x14ac:dyDescent="0.3">
      <c r="A25" s="14">
        <v>20</v>
      </c>
      <c r="B25" s="21" t="s">
        <v>180</v>
      </c>
      <c r="C25" s="15">
        <v>6</v>
      </c>
      <c r="D25" s="16">
        <v>1964000</v>
      </c>
      <c r="E25" s="16">
        <f t="shared" si="1"/>
        <v>23568000</v>
      </c>
      <c r="F25" s="16">
        <f t="shared" si="2"/>
        <v>2356800</v>
      </c>
      <c r="G25" s="16">
        <v>30</v>
      </c>
      <c r="H25" s="16">
        <f t="shared" si="11"/>
        <v>5074440</v>
      </c>
      <c r="I25" s="16"/>
      <c r="J25" s="16"/>
      <c r="K25" s="158">
        <f t="shared" si="3"/>
        <v>30999240</v>
      </c>
      <c r="L25" s="158" t="e">
        <f>#REF!+120000</f>
        <v>#REF!</v>
      </c>
      <c r="M25" s="17" t="e">
        <f t="shared" si="4"/>
        <v>#REF!</v>
      </c>
      <c r="N25" s="17" t="e">
        <f t="shared" si="5"/>
        <v>#REF!</v>
      </c>
      <c r="O25" s="17" t="e">
        <f t="shared" si="6"/>
        <v>#REF!</v>
      </c>
      <c r="P25" s="17" t="e">
        <f t="shared" si="7"/>
        <v>#REF!</v>
      </c>
      <c r="Q25" s="17" t="e">
        <f t="shared" si="8"/>
        <v>#REF!</v>
      </c>
      <c r="R25" s="17">
        <f t="shared" si="9"/>
        <v>2583270</v>
      </c>
      <c r="S25" s="17" t="e">
        <f t="shared" si="10"/>
        <v>#REF!</v>
      </c>
      <c r="T25" s="19" t="e">
        <f>#REF!+#REF!+S25-#REF!</f>
        <v>#REF!</v>
      </c>
      <c r="U25" s="20" t="e">
        <f>#REF!+#REF!+S25</f>
        <v>#REF!</v>
      </c>
    </row>
    <row r="26" spans="1:21" ht="30" customHeight="1" x14ac:dyDescent="0.3">
      <c r="A26" s="14">
        <v>21</v>
      </c>
      <c r="B26" s="21" t="s">
        <v>187</v>
      </c>
      <c r="C26" s="15">
        <v>7</v>
      </c>
      <c r="D26" s="16">
        <v>2014000</v>
      </c>
      <c r="E26" s="16">
        <f t="shared" si="1"/>
        <v>24168000</v>
      </c>
      <c r="F26" s="16">
        <f t="shared" si="2"/>
        <v>2416800</v>
      </c>
      <c r="G26" s="16">
        <v>30</v>
      </c>
      <c r="H26" s="16">
        <f t="shared" si="11"/>
        <v>5203630</v>
      </c>
      <c r="I26" s="16"/>
      <c r="J26" s="16"/>
      <c r="K26" s="158">
        <f t="shared" si="3"/>
        <v>31788430</v>
      </c>
      <c r="L26" s="158" t="e">
        <f>#REF!+120000</f>
        <v>#REF!</v>
      </c>
      <c r="M26" s="17" t="e">
        <f t="shared" si="4"/>
        <v>#REF!</v>
      </c>
      <c r="N26" s="17" t="e">
        <f t="shared" si="5"/>
        <v>#REF!</v>
      </c>
      <c r="O26" s="17" t="e">
        <f t="shared" si="6"/>
        <v>#REF!</v>
      </c>
      <c r="P26" s="17" t="e">
        <f t="shared" si="7"/>
        <v>#REF!</v>
      </c>
      <c r="Q26" s="17" t="e">
        <f t="shared" si="8"/>
        <v>#REF!</v>
      </c>
      <c r="R26" s="17">
        <f t="shared" si="9"/>
        <v>2649030</v>
      </c>
      <c r="S26" s="17" t="e">
        <f t="shared" si="10"/>
        <v>#REF!</v>
      </c>
      <c r="T26" s="19" t="e">
        <f>#REF!+#REF!+S26-#REF!</f>
        <v>#REF!</v>
      </c>
      <c r="U26" s="20" t="e">
        <f>#REF!+#REF!+S26</f>
        <v>#REF!</v>
      </c>
    </row>
    <row r="27" spans="1:21" ht="30" customHeight="1" x14ac:dyDescent="0.3">
      <c r="A27" s="14">
        <v>22</v>
      </c>
      <c r="B27" s="21" t="s">
        <v>213</v>
      </c>
      <c r="C27" s="15">
        <v>2</v>
      </c>
      <c r="D27" s="16">
        <v>1690000</v>
      </c>
      <c r="E27" s="16">
        <f t="shared" si="1"/>
        <v>20280000</v>
      </c>
      <c r="F27" s="16">
        <f t="shared" si="2"/>
        <v>2028000</v>
      </c>
      <c r="G27" s="16">
        <v>30</v>
      </c>
      <c r="H27" s="16">
        <f t="shared" si="11"/>
        <v>4366500</v>
      </c>
      <c r="I27" s="16"/>
      <c r="J27" s="16"/>
      <c r="K27" s="158">
        <f t="shared" si="3"/>
        <v>26674500</v>
      </c>
      <c r="L27" s="158" t="e">
        <f>#REF!+120000</f>
        <v>#REF!</v>
      </c>
      <c r="M27" s="17" t="e">
        <f t="shared" si="4"/>
        <v>#REF!</v>
      </c>
      <c r="N27" s="17" t="e">
        <f t="shared" si="5"/>
        <v>#REF!</v>
      </c>
      <c r="O27" s="17" t="e">
        <f t="shared" si="6"/>
        <v>#REF!</v>
      </c>
      <c r="P27" s="17" t="e">
        <f t="shared" si="7"/>
        <v>#REF!</v>
      </c>
      <c r="Q27" s="17" t="e">
        <f t="shared" si="8"/>
        <v>#REF!</v>
      </c>
      <c r="R27" s="17">
        <f t="shared" si="9"/>
        <v>2222870</v>
      </c>
      <c r="S27" s="17" t="e">
        <f t="shared" si="10"/>
        <v>#REF!</v>
      </c>
      <c r="T27" s="19" t="e">
        <f>#REF!+#REF!+S27-#REF!</f>
        <v>#REF!</v>
      </c>
      <c r="U27" s="20" t="e">
        <f>#REF!+#REF!+S27</f>
        <v>#REF!</v>
      </c>
    </row>
    <row r="28" spans="1:21" ht="30" customHeight="1" x14ac:dyDescent="0.3">
      <c r="A28" s="14">
        <v>23</v>
      </c>
      <c r="B28" s="21" t="s">
        <v>131</v>
      </c>
      <c r="C28" s="15">
        <v>2</v>
      </c>
      <c r="D28" s="16">
        <v>1690000</v>
      </c>
      <c r="E28" s="16">
        <f t="shared" si="1"/>
        <v>20280000</v>
      </c>
      <c r="F28" s="16">
        <f t="shared" si="2"/>
        <v>2028000</v>
      </c>
      <c r="G28" s="16">
        <v>30</v>
      </c>
      <c r="H28" s="16">
        <f t="shared" si="11"/>
        <v>4366500</v>
      </c>
      <c r="I28" s="16"/>
      <c r="J28" s="16"/>
      <c r="K28" s="158">
        <f t="shared" si="3"/>
        <v>26674500</v>
      </c>
      <c r="L28" s="158" t="e">
        <f>#REF!+120000</f>
        <v>#REF!</v>
      </c>
      <c r="M28" s="17" t="e">
        <f t="shared" si="4"/>
        <v>#REF!</v>
      </c>
      <c r="N28" s="17" t="e">
        <f t="shared" si="5"/>
        <v>#REF!</v>
      </c>
      <c r="O28" s="17" t="e">
        <f t="shared" si="6"/>
        <v>#REF!</v>
      </c>
      <c r="P28" s="17" t="e">
        <f t="shared" si="7"/>
        <v>#REF!</v>
      </c>
      <c r="Q28" s="17" t="e">
        <f t="shared" si="8"/>
        <v>#REF!</v>
      </c>
      <c r="R28" s="17">
        <f t="shared" si="9"/>
        <v>2222870</v>
      </c>
      <c r="S28" s="17" t="e">
        <f t="shared" si="10"/>
        <v>#REF!</v>
      </c>
      <c r="T28" s="19" t="e">
        <f>#REF!+#REF!+S28-#REF!</f>
        <v>#REF!</v>
      </c>
      <c r="U28" s="20" t="e">
        <f>#REF!+#REF!+S28</f>
        <v>#REF!</v>
      </c>
    </row>
    <row r="29" spans="1:21" ht="30" customHeight="1" x14ac:dyDescent="0.3">
      <c r="A29" s="14">
        <v>24</v>
      </c>
      <c r="B29" s="21" t="s">
        <v>177</v>
      </c>
      <c r="C29" s="15">
        <v>7</v>
      </c>
      <c r="D29" s="16">
        <v>2014000</v>
      </c>
      <c r="E29" s="16">
        <f t="shared" si="1"/>
        <v>24168000</v>
      </c>
      <c r="F29" s="16">
        <f t="shared" si="2"/>
        <v>2416800</v>
      </c>
      <c r="G29" s="16">
        <v>30</v>
      </c>
      <c r="H29" s="16">
        <f t="shared" si="11"/>
        <v>5203630</v>
      </c>
      <c r="I29" s="16"/>
      <c r="J29" s="16"/>
      <c r="K29" s="158">
        <f t="shared" si="3"/>
        <v>31788430</v>
      </c>
      <c r="L29" s="158" t="e">
        <f>#REF!+120000</f>
        <v>#REF!</v>
      </c>
      <c r="M29" s="17" t="e">
        <f t="shared" si="4"/>
        <v>#REF!</v>
      </c>
      <c r="N29" s="17" t="e">
        <f t="shared" si="5"/>
        <v>#REF!</v>
      </c>
      <c r="O29" s="17" t="e">
        <f t="shared" si="6"/>
        <v>#REF!</v>
      </c>
      <c r="P29" s="17" t="e">
        <f t="shared" si="7"/>
        <v>#REF!</v>
      </c>
      <c r="Q29" s="17" t="e">
        <f t="shared" si="8"/>
        <v>#REF!</v>
      </c>
      <c r="R29" s="17">
        <f t="shared" si="9"/>
        <v>2649030</v>
      </c>
      <c r="S29" s="17" t="e">
        <f t="shared" si="10"/>
        <v>#REF!</v>
      </c>
      <c r="T29" s="19" t="e">
        <f>#REF!+#REF!+S29-#REF!</f>
        <v>#REF!</v>
      </c>
      <c r="U29" s="20" t="e">
        <f>#REF!+#REF!+S29</f>
        <v>#REF!</v>
      </c>
    </row>
    <row r="30" spans="1:21" ht="30" customHeight="1" x14ac:dyDescent="0.3">
      <c r="A30" s="14">
        <v>25</v>
      </c>
      <c r="B30" s="21" t="s">
        <v>190</v>
      </c>
      <c r="C30" s="15">
        <v>1</v>
      </c>
      <c r="D30" s="16">
        <v>1799000</v>
      </c>
      <c r="E30" s="16">
        <f t="shared" si="1"/>
        <v>21588000</v>
      </c>
      <c r="F30" s="16">
        <f t="shared" si="2"/>
        <v>2158800</v>
      </c>
      <c r="G30" s="16">
        <v>30</v>
      </c>
      <c r="H30" s="16">
        <f t="shared" si="11"/>
        <v>4648130</v>
      </c>
      <c r="I30" s="16">
        <f>20000*12</f>
        <v>240000</v>
      </c>
      <c r="J30" s="16"/>
      <c r="K30" s="158">
        <f t="shared" si="3"/>
        <v>28634930</v>
      </c>
      <c r="L30" s="158" t="e">
        <f>#REF!+120000</f>
        <v>#REF!</v>
      </c>
      <c r="M30" s="17" t="e">
        <f t="shared" si="4"/>
        <v>#REF!</v>
      </c>
      <c r="N30" s="17" t="e">
        <f t="shared" si="5"/>
        <v>#REF!</v>
      </c>
      <c r="O30" s="17" t="e">
        <f t="shared" si="6"/>
        <v>#REF!</v>
      </c>
      <c r="P30" s="17" t="e">
        <f t="shared" si="7"/>
        <v>#REF!</v>
      </c>
      <c r="Q30" s="17" t="e">
        <f t="shared" si="8"/>
        <v>#REF!</v>
      </c>
      <c r="R30" s="17">
        <f t="shared" si="9"/>
        <v>2386240</v>
      </c>
      <c r="S30" s="17" t="e">
        <f t="shared" si="10"/>
        <v>#REF!</v>
      </c>
      <c r="T30" s="19" t="e">
        <f>#REF!+#REF!+S30-#REF!</f>
        <v>#REF!</v>
      </c>
      <c r="U30" s="20" t="e">
        <f>#REF!+#REF!+S30</f>
        <v>#REF!</v>
      </c>
    </row>
    <row r="31" spans="1:21" ht="30" customHeight="1" x14ac:dyDescent="0.3">
      <c r="A31" s="14">
        <v>26</v>
      </c>
      <c r="B31" s="21" t="s">
        <v>158</v>
      </c>
      <c r="C31" s="15">
        <v>9</v>
      </c>
      <c r="D31" s="16">
        <v>2165000</v>
      </c>
      <c r="E31" s="16">
        <f t="shared" si="1"/>
        <v>25980000</v>
      </c>
      <c r="F31" s="16">
        <f t="shared" si="2"/>
        <v>2598000</v>
      </c>
      <c r="G31" s="16">
        <v>30</v>
      </c>
      <c r="H31" s="16">
        <f t="shared" si="11"/>
        <v>5593770</v>
      </c>
      <c r="I31" s="16"/>
      <c r="J31" s="16"/>
      <c r="K31" s="158">
        <f t="shared" si="3"/>
        <v>34171770</v>
      </c>
      <c r="L31" s="158"/>
      <c r="M31" s="17"/>
      <c r="N31" s="17"/>
      <c r="O31" s="17"/>
      <c r="P31" s="17"/>
      <c r="Q31" s="17"/>
      <c r="R31" s="17"/>
      <c r="S31" s="17"/>
      <c r="T31" s="19"/>
      <c r="U31" s="20"/>
    </row>
    <row r="32" spans="1:21" ht="30" customHeight="1" x14ac:dyDescent="0.3">
      <c r="A32" s="14">
        <v>27</v>
      </c>
      <c r="B32" s="14" t="s">
        <v>185</v>
      </c>
      <c r="C32" s="15">
        <v>7</v>
      </c>
      <c r="D32" s="16">
        <v>1025000</v>
      </c>
      <c r="E32" s="16">
        <f t="shared" si="1"/>
        <v>12300000</v>
      </c>
      <c r="F32" s="16">
        <f t="shared" si="2"/>
        <v>1230000</v>
      </c>
      <c r="G32" s="16">
        <v>30</v>
      </c>
      <c r="H32" s="16">
        <f t="shared" si="11"/>
        <v>2648320</v>
      </c>
      <c r="I32" s="16">
        <f>60000*12</f>
        <v>720000</v>
      </c>
      <c r="J32" s="16"/>
      <c r="K32" s="158">
        <f t="shared" si="3"/>
        <v>16898320</v>
      </c>
      <c r="L32" s="158" t="e">
        <f>#REF!+120000</f>
        <v>#REF!</v>
      </c>
      <c r="M32" s="17" t="e">
        <f>ROUNDDOWN(L32*2.995%,-1)</f>
        <v>#REF!</v>
      </c>
      <c r="N32" s="17" t="e">
        <f>ROUNDDOWN(M32*6.55%,-1)</f>
        <v>#REF!</v>
      </c>
      <c r="O32" s="17" t="e">
        <f>ROUNDDOWN(L32*0.045,-1)</f>
        <v>#REF!</v>
      </c>
      <c r="P32" s="17" t="e">
        <f>ROUNDDOWN(L32*0.0056,-1)</f>
        <v>#REF!</v>
      </c>
      <c r="Q32" s="17" t="e">
        <f>ROUNDDOWN(L32*0.009,-1)</f>
        <v>#REF!</v>
      </c>
      <c r="R32" s="17">
        <f>ROUNDDOWN(K32/12,-1)</f>
        <v>1408190</v>
      </c>
      <c r="S32" s="17" t="e">
        <f>SUM(M32:R32)</f>
        <v>#REF!</v>
      </c>
      <c r="T32" s="19" t="e">
        <f>#REF!+#REF!+S32-#REF!</f>
        <v>#REF!</v>
      </c>
      <c r="U32" s="20" t="e">
        <f>#REF!+#REF!+S32</f>
        <v>#REF!</v>
      </c>
    </row>
    <row r="33" spans="1:21" ht="30" customHeight="1" x14ac:dyDescent="0.3">
      <c r="A33" s="14">
        <v>28</v>
      </c>
      <c r="B33" s="14" t="s">
        <v>174</v>
      </c>
      <c r="C33" s="15">
        <v>3</v>
      </c>
      <c r="D33" s="16">
        <v>871000</v>
      </c>
      <c r="E33" s="16">
        <f t="shared" si="1"/>
        <v>10452000</v>
      </c>
      <c r="F33" s="16">
        <f t="shared" si="2"/>
        <v>1045200</v>
      </c>
      <c r="G33" s="22">
        <v>30</v>
      </c>
      <c r="H33" s="16">
        <f t="shared" si="11"/>
        <v>2250430</v>
      </c>
      <c r="I33" s="16"/>
      <c r="J33" s="16"/>
      <c r="K33" s="158">
        <f t="shared" si="3"/>
        <v>13747630</v>
      </c>
      <c r="L33" s="158" t="e">
        <f>#REF!+120000</f>
        <v>#REF!</v>
      </c>
      <c r="M33" s="17" t="e">
        <f>ROUNDDOWN(L33*2.995%,-1)</f>
        <v>#REF!</v>
      </c>
      <c r="N33" s="17" t="e">
        <f>ROUNDDOWN(M33*6.55%,-1)</f>
        <v>#REF!</v>
      </c>
      <c r="O33" s="17" t="e">
        <f>ROUNDDOWN(L33*0.045,-1)</f>
        <v>#REF!</v>
      </c>
      <c r="P33" s="17" t="e">
        <f>ROUNDDOWN(L33*0.0056,-1)</f>
        <v>#REF!</v>
      </c>
      <c r="Q33" s="17" t="e">
        <f>ROUNDDOWN(L33*0.009,-1)</f>
        <v>#REF!</v>
      </c>
      <c r="R33" s="17">
        <f>ROUNDDOWN(K33/12,-1)</f>
        <v>1145630</v>
      </c>
      <c r="S33" s="17" t="e">
        <f>SUM(M33:R33)</f>
        <v>#REF!</v>
      </c>
      <c r="T33" s="19" t="e">
        <f>#REF!+#REF!+S33-#REF!</f>
        <v>#REF!</v>
      </c>
      <c r="U33" s="20" t="e">
        <f>#REF!+#REF!+S33</f>
        <v>#REF!</v>
      </c>
    </row>
    <row r="34" spans="1:21" ht="30" customHeight="1" x14ac:dyDescent="0.3">
      <c r="A34" s="14">
        <v>29</v>
      </c>
      <c r="B34" s="23" t="s">
        <v>92</v>
      </c>
      <c r="C34" s="15">
        <v>5</v>
      </c>
      <c r="D34" s="16">
        <v>963000</v>
      </c>
      <c r="E34" s="16">
        <f t="shared" si="1"/>
        <v>11556000</v>
      </c>
      <c r="F34" s="16">
        <f t="shared" si="2"/>
        <v>1155600</v>
      </c>
      <c r="G34" s="16">
        <v>8</v>
      </c>
      <c r="H34" s="16">
        <f t="shared" si="11"/>
        <v>663500</v>
      </c>
      <c r="I34" s="16">
        <f>40000*12</f>
        <v>480000</v>
      </c>
      <c r="J34" s="194">
        <v>30000</v>
      </c>
      <c r="K34" s="158">
        <f t="shared" si="3"/>
        <v>13885100</v>
      </c>
      <c r="L34" s="158" t="e">
        <f>#REF!+120000</f>
        <v>#REF!</v>
      </c>
      <c r="M34" s="17" t="e">
        <f>ROUNDDOWN(L34*2.995%,-1)</f>
        <v>#REF!</v>
      </c>
      <c r="N34" s="17" t="e">
        <f>ROUNDDOWN(M34*6.55%,-1)</f>
        <v>#REF!</v>
      </c>
      <c r="O34" s="17" t="e">
        <f>ROUNDDOWN(L34*0.045,-1)</f>
        <v>#REF!</v>
      </c>
      <c r="P34" s="17" t="e">
        <f>ROUNDDOWN(L34*0.0056,-1)</f>
        <v>#REF!</v>
      </c>
      <c r="Q34" s="17" t="e">
        <f>ROUNDDOWN(L34*0.009,-1)</f>
        <v>#REF!</v>
      </c>
      <c r="R34" s="17">
        <f>ROUNDDOWN(K34/12,-1)</f>
        <v>1157090</v>
      </c>
      <c r="S34" s="17" t="e">
        <f>SUM(M34:R34)</f>
        <v>#REF!</v>
      </c>
      <c r="T34" s="19" t="e">
        <f>#REF!+#REF!+S34-#REF!</f>
        <v>#REF!</v>
      </c>
      <c r="U34" s="20" t="e">
        <f>#REF!+#REF!+S34</f>
        <v>#REF!</v>
      </c>
    </row>
    <row r="35" spans="1:21" x14ac:dyDescent="0.3">
      <c r="D35" s="24"/>
      <c r="E35" s="24"/>
      <c r="F35" s="24"/>
      <c r="G35" s="25"/>
      <c r="H35" s="24"/>
      <c r="I35" s="24"/>
      <c r="J35" s="24" t="s">
        <v>278</v>
      </c>
      <c r="K35" s="24"/>
      <c r="L35" s="24"/>
    </row>
    <row r="36" spans="1:21" x14ac:dyDescent="0.3">
      <c r="D36" s="6"/>
      <c r="E36" s="6"/>
      <c r="F36" s="6"/>
      <c r="G36" s="26"/>
      <c r="H36" s="6"/>
      <c r="I36" s="6"/>
      <c r="J36" s="6"/>
      <c r="K36" s="6"/>
      <c r="L36" s="6"/>
    </row>
  </sheetData>
  <mergeCells count="15">
    <mergeCell ref="B3:B5"/>
    <mergeCell ref="D3:E4"/>
    <mergeCell ref="C3:C5"/>
    <mergeCell ref="L3:L4"/>
    <mergeCell ref="A1:T1"/>
    <mergeCell ref="A2:B2"/>
    <mergeCell ref="A3:A5"/>
    <mergeCell ref="U3:U4"/>
    <mergeCell ref="F3:F4"/>
    <mergeCell ref="K3:K4"/>
    <mergeCell ref="M3:S3"/>
    <mergeCell ref="T3:T4"/>
    <mergeCell ref="G3:H3"/>
    <mergeCell ref="I3:I4"/>
    <mergeCell ref="J3:J4"/>
  </mergeCells>
  <phoneticPr fontId="26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64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S39"/>
  <sheetViews>
    <sheetView zoomScaleNormal="100" workbookViewId="0">
      <selection activeCell="R7" sqref="R7"/>
    </sheetView>
  </sheetViews>
  <sheetFormatPr defaultColWidth="8.875" defaultRowHeight="16.5" x14ac:dyDescent="0.3"/>
  <cols>
    <col min="1" max="1" width="8" style="4" customWidth="1"/>
    <col min="2" max="2" width="19.125" style="4" customWidth="1"/>
    <col min="3" max="3" width="7.75" style="4" customWidth="1"/>
    <col min="4" max="4" width="14.5" hidden="1" customWidth="1"/>
    <col min="5" max="5" width="15.75" hidden="1" customWidth="1"/>
    <col min="6" max="6" width="15.125" hidden="1" customWidth="1"/>
    <col min="7" max="7" width="7.75" style="7" hidden="1" customWidth="1"/>
    <col min="8" max="8" width="16.125" hidden="1" customWidth="1"/>
    <col min="9" max="10" width="13.25" hidden="1" customWidth="1"/>
    <col min="11" max="11" width="15.75" hidden="1" bestFit="1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55" t="s">
        <v>248</v>
      </c>
      <c r="B1" s="255"/>
      <c r="C1" s="255"/>
      <c r="D1" s="256"/>
      <c r="E1" s="256"/>
      <c r="F1" s="255"/>
      <c r="G1" s="255"/>
      <c r="H1" s="256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</row>
    <row r="2" spans="1:19" ht="26.25" customHeight="1" x14ac:dyDescent="0.3">
      <c r="A2" s="173" t="s">
        <v>53</v>
      </c>
      <c r="B2" s="3"/>
      <c r="D2" s="5"/>
      <c r="E2" s="5"/>
      <c r="F2" s="6"/>
      <c r="H2" s="6"/>
      <c r="I2" s="6"/>
      <c r="J2" s="6"/>
      <c r="K2" s="8"/>
      <c r="L2" s="6"/>
      <c r="M2" s="6"/>
      <c r="N2" s="6"/>
      <c r="O2" s="6"/>
      <c r="P2" s="6"/>
      <c r="Q2" s="6"/>
      <c r="R2" s="6"/>
      <c r="S2" s="8" t="s">
        <v>149</v>
      </c>
    </row>
    <row r="3" spans="1:19" ht="19.5" customHeight="1" x14ac:dyDescent="0.3">
      <c r="A3" s="248" t="s">
        <v>77</v>
      </c>
      <c r="B3" s="248" t="s">
        <v>83</v>
      </c>
      <c r="C3" s="248" t="s">
        <v>100</v>
      </c>
      <c r="D3" s="251" t="s">
        <v>105</v>
      </c>
      <c r="E3" s="252"/>
      <c r="F3" s="237" t="s">
        <v>178</v>
      </c>
      <c r="G3" s="246" t="s">
        <v>167</v>
      </c>
      <c r="H3" s="247"/>
      <c r="I3" s="237" t="s">
        <v>191</v>
      </c>
      <c r="J3" s="237" t="s">
        <v>253</v>
      </c>
      <c r="K3" s="239" t="s">
        <v>96</v>
      </c>
      <c r="L3" s="239" t="s">
        <v>252</v>
      </c>
      <c r="M3" s="262" t="s">
        <v>20</v>
      </c>
      <c r="N3" s="262"/>
      <c r="O3" s="262"/>
      <c r="P3" s="262"/>
      <c r="Q3" s="262"/>
      <c r="R3" s="262"/>
      <c r="S3" s="262"/>
    </row>
    <row r="4" spans="1:19" ht="14.25" customHeight="1" x14ac:dyDescent="0.3">
      <c r="A4" s="249"/>
      <c r="B4" s="249"/>
      <c r="C4" s="249"/>
      <c r="D4" s="253"/>
      <c r="E4" s="254"/>
      <c r="F4" s="238"/>
      <c r="G4" s="9" t="s">
        <v>118</v>
      </c>
      <c r="H4" s="10" t="s">
        <v>90</v>
      </c>
      <c r="I4" s="238"/>
      <c r="J4" s="263"/>
      <c r="K4" s="261"/>
      <c r="L4" s="261"/>
      <c r="M4" s="262"/>
      <c r="N4" s="262"/>
      <c r="O4" s="262"/>
      <c r="P4" s="262"/>
      <c r="Q4" s="262"/>
      <c r="R4" s="262"/>
      <c r="S4" s="262"/>
    </row>
    <row r="5" spans="1:19" ht="46.5" customHeight="1" x14ac:dyDescent="0.3">
      <c r="A5" s="250"/>
      <c r="B5" s="250"/>
      <c r="C5" s="250"/>
      <c r="D5" s="12"/>
      <c r="E5" s="12"/>
      <c r="F5" s="12"/>
      <c r="G5" s="12"/>
      <c r="H5" s="12"/>
      <c r="I5" s="12"/>
      <c r="J5" s="191"/>
      <c r="K5" s="240"/>
      <c r="L5" s="240"/>
      <c r="M5" s="192" t="s">
        <v>276</v>
      </c>
      <c r="N5" s="11" t="s">
        <v>5</v>
      </c>
      <c r="O5" s="11" t="s">
        <v>46</v>
      </c>
      <c r="P5" s="192" t="s">
        <v>275</v>
      </c>
      <c r="Q5" s="11" t="s">
        <v>34</v>
      </c>
      <c r="R5" s="11" t="s">
        <v>7</v>
      </c>
      <c r="S5" s="174" t="s">
        <v>88</v>
      </c>
    </row>
    <row r="6" spans="1:19" ht="30" customHeight="1" x14ac:dyDescent="0.3">
      <c r="A6" s="258" t="s">
        <v>89</v>
      </c>
      <c r="B6" s="259"/>
      <c r="C6" s="260"/>
      <c r="D6" s="12">
        <f>SUM(D7:D36)</f>
        <v>59322000</v>
      </c>
      <c r="E6" s="12">
        <f>SUM(E7:E36)</f>
        <v>711864000</v>
      </c>
      <c r="F6" s="12">
        <f>SUM(F7:F36)</f>
        <v>71186400</v>
      </c>
      <c r="G6" s="12">
        <f>SUM(G8:G36)</f>
        <v>620</v>
      </c>
      <c r="H6" s="12">
        <f>SUM(H8:H36)</f>
        <v>100368540</v>
      </c>
      <c r="I6" s="12">
        <f>SUM(I7:I36)</f>
        <v>6240000</v>
      </c>
      <c r="J6" s="12">
        <f>SUM(J7:J36)</f>
        <v>57000</v>
      </c>
      <c r="K6" s="12">
        <f>SUM(K7:K36)</f>
        <v>889715940</v>
      </c>
      <c r="L6" s="157">
        <f>SUM(L7:L37)</f>
        <v>889715940</v>
      </c>
      <c r="M6" s="12">
        <f t="shared" ref="M6:R6" si="0">SUM(M7:M35)</f>
        <v>27225130</v>
      </c>
      <c r="N6" s="12">
        <f t="shared" si="0"/>
        <v>1783140</v>
      </c>
      <c r="O6" s="12">
        <f t="shared" si="0"/>
        <v>40037080</v>
      </c>
      <c r="P6" s="12">
        <f t="shared" si="0"/>
        <v>6227880</v>
      </c>
      <c r="Q6" s="12">
        <f t="shared" si="0"/>
        <v>8007320</v>
      </c>
      <c r="R6" s="12">
        <f t="shared" si="0"/>
        <v>74142880</v>
      </c>
      <c r="S6" s="157">
        <f>SUM(S7:S37)</f>
        <v>157423430</v>
      </c>
    </row>
    <row r="7" spans="1:19" ht="30" customHeight="1" x14ac:dyDescent="0.3">
      <c r="A7" s="14">
        <v>1</v>
      </c>
      <c r="B7" s="14" t="s">
        <v>130</v>
      </c>
      <c r="C7" s="15">
        <v>18</v>
      </c>
      <c r="D7" s="16">
        <v>3848000</v>
      </c>
      <c r="E7" s="16">
        <f t="shared" ref="E7:E35" si="1">D7*12</f>
        <v>46176000</v>
      </c>
      <c r="F7" s="16">
        <f t="shared" ref="F7:F35" si="2">D7*60%*2</f>
        <v>4617600</v>
      </c>
      <c r="G7" s="16"/>
      <c r="H7" s="16"/>
      <c r="I7" s="16">
        <f>80000*12</f>
        <v>960000</v>
      </c>
      <c r="J7" s="16"/>
      <c r="K7" s="158">
        <f t="shared" ref="K7:K35" si="3">E7+F7+H7+I7+J7</f>
        <v>51753600</v>
      </c>
      <c r="L7" s="158">
        <f t="shared" ref="L7:L35" si="4">K7</f>
        <v>51753600</v>
      </c>
      <c r="M7" s="17">
        <f t="shared" ref="M7:M35" si="5">ROUNDDOWN(L7*3.06%,-1)</f>
        <v>1583660</v>
      </c>
      <c r="N7" s="17">
        <f t="shared" ref="N7:N35" si="6">ROUNDDOWN(M7*6.55%,-1)</f>
        <v>103720</v>
      </c>
      <c r="O7" s="17">
        <f t="shared" ref="O7:O35" si="7">ROUNDDOWN(L7*0.045,-1)</f>
        <v>2328910</v>
      </c>
      <c r="P7" s="17">
        <f t="shared" ref="P7:P36" si="8">ROUNDDOWN(L7*0.007,-1)</f>
        <v>362270</v>
      </c>
      <c r="Q7" s="17">
        <f t="shared" ref="Q7:Q36" si="9">ROUNDDOWN(L7*0.009,-1)</f>
        <v>465780</v>
      </c>
      <c r="R7" s="17">
        <f t="shared" ref="R7:R35" si="10">ROUNDDOWN(K7/12,-1)</f>
        <v>4312800</v>
      </c>
      <c r="S7" s="158">
        <f t="shared" ref="S7:S35" si="11">SUM(M7:R7)</f>
        <v>9157140</v>
      </c>
    </row>
    <row r="8" spans="1:19" ht="30" customHeight="1" x14ac:dyDescent="0.3">
      <c r="A8" s="14">
        <v>2</v>
      </c>
      <c r="B8" s="14" t="s">
        <v>199</v>
      </c>
      <c r="C8" s="15">
        <v>20</v>
      </c>
      <c r="D8" s="16">
        <v>3610000</v>
      </c>
      <c r="E8" s="16">
        <f t="shared" si="1"/>
        <v>43320000</v>
      </c>
      <c r="F8" s="16">
        <f t="shared" si="2"/>
        <v>4332000</v>
      </c>
      <c r="G8" s="16">
        <v>8</v>
      </c>
      <c r="H8" s="16">
        <f t="shared" ref="H8:H16" si="12">ROUNDDOWN(E8*1/209*1.5*8,-1)</f>
        <v>2487270</v>
      </c>
      <c r="I8" s="16">
        <f>40000*12</f>
        <v>480000</v>
      </c>
      <c r="J8" s="16"/>
      <c r="K8" s="158">
        <f t="shared" si="3"/>
        <v>50619270</v>
      </c>
      <c r="L8" s="158">
        <f t="shared" si="4"/>
        <v>50619270</v>
      </c>
      <c r="M8" s="17">
        <f t="shared" si="5"/>
        <v>1548940</v>
      </c>
      <c r="N8" s="17">
        <f t="shared" si="6"/>
        <v>101450</v>
      </c>
      <c r="O8" s="17">
        <f t="shared" si="7"/>
        <v>2277860</v>
      </c>
      <c r="P8" s="17">
        <f t="shared" si="8"/>
        <v>354330</v>
      </c>
      <c r="Q8" s="17">
        <f t="shared" si="9"/>
        <v>455570</v>
      </c>
      <c r="R8" s="17">
        <f t="shared" si="10"/>
        <v>4218270</v>
      </c>
      <c r="S8" s="158">
        <f t="shared" si="11"/>
        <v>8956420</v>
      </c>
    </row>
    <row r="9" spans="1:19" ht="30" customHeight="1" x14ac:dyDescent="0.3">
      <c r="A9" s="14">
        <v>3</v>
      </c>
      <c r="B9" s="14" t="s">
        <v>183</v>
      </c>
      <c r="C9" s="15">
        <v>10</v>
      </c>
      <c r="D9" s="16">
        <v>2625000</v>
      </c>
      <c r="E9" s="16">
        <f t="shared" si="1"/>
        <v>31500000</v>
      </c>
      <c r="F9" s="16">
        <f t="shared" si="2"/>
        <v>3150000</v>
      </c>
      <c r="G9" s="16">
        <v>8</v>
      </c>
      <c r="H9" s="16">
        <f t="shared" si="12"/>
        <v>1808610</v>
      </c>
      <c r="I9" s="16">
        <f>80000*12</f>
        <v>960000</v>
      </c>
      <c r="J9" s="16"/>
      <c r="K9" s="158">
        <f t="shared" si="3"/>
        <v>37418610</v>
      </c>
      <c r="L9" s="158">
        <f t="shared" si="4"/>
        <v>37418610</v>
      </c>
      <c r="M9" s="17">
        <f t="shared" si="5"/>
        <v>1145000</v>
      </c>
      <c r="N9" s="17">
        <f t="shared" si="6"/>
        <v>74990</v>
      </c>
      <c r="O9" s="17">
        <f t="shared" si="7"/>
        <v>1683830</v>
      </c>
      <c r="P9" s="17">
        <f t="shared" si="8"/>
        <v>261930</v>
      </c>
      <c r="Q9" s="17">
        <f t="shared" si="9"/>
        <v>336760</v>
      </c>
      <c r="R9" s="17">
        <f t="shared" si="10"/>
        <v>3118210</v>
      </c>
      <c r="S9" s="158">
        <f t="shared" si="11"/>
        <v>6620720</v>
      </c>
    </row>
    <row r="10" spans="1:19" ht="30" customHeight="1" x14ac:dyDescent="0.3">
      <c r="A10" s="14">
        <v>4</v>
      </c>
      <c r="B10" s="21" t="s">
        <v>94</v>
      </c>
      <c r="C10" s="15">
        <v>6</v>
      </c>
      <c r="D10" s="16">
        <v>2224000</v>
      </c>
      <c r="E10" s="16">
        <f t="shared" si="1"/>
        <v>26688000</v>
      </c>
      <c r="F10" s="16">
        <f t="shared" si="2"/>
        <v>2668800</v>
      </c>
      <c r="G10" s="16">
        <v>8</v>
      </c>
      <c r="H10" s="16">
        <f t="shared" si="12"/>
        <v>1532320</v>
      </c>
      <c r="I10" s="16">
        <f>40000*12</f>
        <v>480000</v>
      </c>
      <c r="J10" s="16"/>
      <c r="K10" s="158">
        <f t="shared" si="3"/>
        <v>31369120</v>
      </c>
      <c r="L10" s="158">
        <f t="shared" si="4"/>
        <v>31369120</v>
      </c>
      <c r="M10" s="17">
        <f t="shared" si="5"/>
        <v>959890</v>
      </c>
      <c r="N10" s="17">
        <f t="shared" si="6"/>
        <v>62870</v>
      </c>
      <c r="O10" s="17">
        <f t="shared" si="7"/>
        <v>1411610</v>
      </c>
      <c r="P10" s="17">
        <f t="shared" si="8"/>
        <v>219580</v>
      </c>
      <c r="Q10" s="17">
        <f t="shared" si="9"/>
        <v>282320</v>
      </c>
      <c r="R10" s="17">
        <f t="shared" si="10"/>
        <v>2614090</v>
      </c>
      <c r="S10" s="158">
        <f t="shared" si="11"/>
        <v>5550360</v>
      </c>
    </row>
    <row r="11" spans="1:19" ht="30" customHeight="1" x14ac:dyDescent="0.3">
      <c r="A11" s="14">
        <v>5</v>
      </c>
      <c r="B11" s="21" t="s">
        <v>208</v>
      </c>
      <c r="C11" s="15">
        <v>6</v>
      </c>
      <c r="D11" s="16">
        <v>2224000</v>
      </c>
      <c r="E11" s="16">
        <f t="shared" si="1"/>
        <v>26688000</v>
      </c>
      <c r="F11" s="16">
        <f t="shared" si="2"/>
        <v>2668800</v>
      </c>
      <c r="G11" s="16">
        <v>8</v>
      </c>
      <c r="H11" s="16">
        <f t="shared" si="12"/>
        <v>1532320</v>
      </c>
      <c r="I11" s="16"/>
      <c r="J11" s="16"/>
      <c r="K11" s="158">
        <f t="shared" si="3"/>
        <v>30889120</v>
      </c>
      <c r="L11" s="158">
        <f t="shared" si="4"/>
        <v>30889120</v>
      </c>
      <c r="M11" s="17">
        <f t="shared" si="5"/>
        <v>945200</v>
      </c>
      <c r="N11" s="17">
        <f t="shared" si="6"/>
        <v>61910</v>
      </c>
      <c r="O11" s="17">
        <f t="shared" si="7"/>
        <v>1390010</v>
      </c>
      <c r="P11" s="17">
        <f t="shared" si="8"/>
        <v>216220</v>
      </c>
      <c r="Q11" s="17">
        <f t="shared" si="9"/>
        <v>278000</v>
      </c>
      <c r="R11" s="17">
        <f t="shared" si="10"/>
        <v>2574090</v>
      </c>
      <c r="S11" s="158">
        <f t="shared" si="11"/>
        <v>5465430</v>
      </c>
    </row>
    <row r="12" spans="1:19" ht="30" customHeight="1" x14ac:dyDescent="0.3">
      <c r="A12" s="14">
        <v>6</v>
      </c>
      <c r="B12" s="21" t="s">
        <v>181</v>
      </c>
      <c r="C12" s="15">
        <v>6</v>
      </c>
      <c r="D12" s="16">
        <v>2224000</v>
      </c>
      <c r="E12" s="16">
        <f t="shared" si="1"/>
        <v>26688000</v>
      </c>
      <c r="F12" s="16">
        <f t="shared" si="2"/>
        <v>2668800</v>
      </c>
      <c r="G12" s="16">
        <v>8</v>
      </c>
      <c r="H12" s="16">
        <f t="shared" si="12"/>
        <v>1532320</v>
      </c>
      <c r="I12" s="16"/>
      <c r="J12" s="16"/>
      <c r="K12" s="158">
        <f t="shared" si="3"/>
        <v>30889120</v>
      </c>
      <c r="L12" s="158">
        <f t="shared" si="4"/>
        <v>30889120</v>
      </c>
      <c r="M12" s="17">
        <f t="shared" si="5"/>
        <v>945200</v>
      </c>
      <c r="N12" s="17">
        <f t="shared" si="6"/>
        <v>61910</v>
      </c>
      <c r="O12" s="17">
        <f t="shared" si="7"/>
        <v>1390010</v>
      </c>
      <c r="P12" s="17">
        <f t="shared" si="8"/>
        <v>216220</v>
      </c>
      <c r="Q12" s="17">
        <f t="shared" si="9"/>
        <v>278000</v>
      </c>
      <c r="R12" s="17">
        <f t="shared" si="10"/>
        <v>2574090</v>
      </c>
      <c r="S12" s="158">
        <f t="shared" si="11"/>
        <v>5465430</v>
      </c>
    </row>
    <row r="13" spans="1:19" ht="30" customHeight="1" x14ac:dyDescent="0.3">
      <c r="A13" s="14">
        <v>7</v>
      </c>
      <c r="B13" s="14" t="s">
        <v>85</v>
      </c>
      <c r="C13" s="15">
        <v>23</v>
      </c>
      <c r="D13" s="16">
        <v>2875000</v>
      </c>
      <c r="E13" s="16">
        <f t="shared" si="1"/>
        <v>34500000</v>
      </c>
      <c r="F13" s="16">
        <f t="shared" si="2"/>
        <v>3450000</v>
      </c>
      <c r="G13" s="16">
        <v>8</v>
      </c>
      <c r="H13" s="16">
        <f t="shared" si="12"/>
        <v>1980860</v>
      </c>
      <c r="I13" s="16"/>
      <c r="J13" s="16"/>
      <c r="K13" s="158">
        <f t="shared" si="3"/>
        <v>39930860</v>
      </c>
      <c r="L13" s="158">
        <f t="shared" si="4"/>
        <v>39930860</v>
      </c>
      <c r="M13" s="17">
        <f t="shared" si="5"/>
        <v>1221880</v>
      </c>
      <c r="N13" s="17">
        <f t="shared" si="6"/>
        <v>80030</v>
      </c>
      <c r="O13" s="17">
        <f t="shared" si="7"/>
        <v>1796880</v>
      </c>
      <c r="P13" s="17">
        <f t="shared" si="8"/>
        <v>279510</v>
      </c>
      <c r="Q13" s="17">
        <f t="shared" si="9"/>
        <v>359370</v>
      </c>
      <c r="R13" s="17">
        <f t="shared" si="10"/>
        <v>3327570</v>
      </c>
      <c r="S13" s="158">
        <f t="shared" si="11"/>
        <v>7065240</v>
      </c>
    </row>
    <row r="14" spans="1:19" ht="30" customHeight="1" x14ac:dyDescent="0.3">
      <c r="A14" s="14">
        <v>8</v>
      </c>
      <c r="B14" s="21" t="s">
        <v>87</v>
      </c>
      <c r="C14" s="15">
        <v>14</v>
      </c>
      <c r="D14" s="16">
        <v>2440000</v>
      </c>
      <c r="E14" s="16">
        <f t="shared" si="1"/>
        <v>29280000</v>
      </c>
      <c r="F14" s="16">
        <f t="shared" si="2"/>
        <v>2928000</v>
      </c>
      <c r="G14" s="22">
        <v>8</v>
      </c>
      <c r="H14" s="16">
        <f t="shared" si="12"/>
        <v>1681140</v>
      </c>
      <c r="I14" s="16">
        <f>60000*12</f>
        <v>720000</v>
      </c>
      <c r="J14" s="16"/>
      <c r="K14" s="158">
        <f t="shared" si="3"/>
        <v>34609140</v>
      </c>
      <c r="L14" s="158">
        <f t="shared" si="4"/>
        <v>34609140</v>
      </c>
      <c r="M14" s="17">
        <f t="shared" si="5"/>
        <v>1059030</v>
      </c>
      <c r="N14" s="17">
        <f t="shared" si="6"/>
        <v>69360</v>
      </c>
      <c r="O14" s="17">
        <f t="shared" si="7"/>
        <v>1557410</v>
      </c>
      <c r="P14" s="17">
        <f t="shared" si="8"/>
        <v>242260</v>
      </c>
      <c r="Q14" s="17">
        <f t="shared" si="9"/>
        <v>311480</v>
      </c>
      <c r="R14" s="17">
        <f t="shared" si="10"/>
        <v>2884090</v>
      </c>
      <c r="S14" s="158">
        <f t="shared" si="11"/>
        <v>6123630</v>
      </c>
    </row>
    <row r="15" spans="1:19" ht="30" customHeight="1" x14ac:dyDescent="0.3">
      <c r="A15" s="14">
        <v>9</v>
      </c>
      <c r="B15" s="21" t="s">
        <v>202</v>
      </c>
      <c r="C15" s="15">
        <v>4</v>
      </c>
      <c r="D15" s="16">
        <v>1799000</v>
      </c>
      <c r="E15" s="16">
        <f t="shared" si="1"/>
        <v>21588000</v>
      </c>
      <c r="F15" s="16">
        <f t="shared" si="2"/>
        <v>2158800</v>
      </c>
      <c r="G15" s="16">
        <v>8</v>
      </c>
      <c r="H15" s="16">
        <f t="shared" si="12"/>
        <v>1239500</v>
      </c>
      <c r="I15" s="16">
        <f>40000*12</f>
        <v>480000</v>
      </c>
      <c r="J15" s="16">
        <v>27000</v>
      </c>
      <c r="K15" s="158">
        <f t="shared" si="3"/>
        <v>25493300</v>
      </c>
      <c r="L15" s="158">
        <f t="shared" si="4"/>
        <v>25493300</v>
      </c>
      <c r="M15" s="17">
        <f t="shared" si="5"/>
        <v>780090</v>
      </c>
      <c r="N15" s="17">
        <f t="shared" si="6"/>
        <v>51090</v>
      </c>
      <c r="O15" s="17">
        <f t="shared" si="7"/>
        <v>1147190</v>
      </c>
      <c r="P15" s="17">
        <f t="shared" si="8"/>
        <v>178450</v>
      </c>
      <c r="Q15" s="17">
        <f t="shared" si="9"/>
        <v>229430</v>
      </c>
      <c r="R15" s="17">
        <f t="shared" si="10"/>
        <v>2124440</v>
      </c>
      <c r="S15" s="158">
        <f t="shared" si="11"/>
        <v>4510690</v>
      </c>
    </row>
    <row r="16" spans="1:19" ht="30" customHeight="1" x14ac:dyDescent="0.3">
      <c r="A16" s="14">
        <v>10</v>
      </c>
      <c r="B16" s="21" t="s">
        <v>179</v>
      </c>
      <c r="C16" s="15">
        <v>2</v>
      </c>
      <c r="D16" s="16">
        <v>1690000</v>
      </c>
      <c r="E16" s="16">
        <f t="shared" si="1"/>
        <v>20280000</v>
      </c>
      <c r="F16" s="16">
        <f t="shared" si="2"/>
        <v>2028000</v>
      </c>
      <c r="G16" s="16">
        <v>8</v>
      </c>
      <c r="H16" s="16">
        <f t="shared" si="12"/>
        <v>1164400</v>
      </c>
      <c r="I16" s="16"/>
      <c r="J16" s="16"/>
      <c r="K16" s="158">
        <f t="shared" si="3"/>
        <v>23472400</v>
      </c>
      <c r="L16" s="158">
        <f t="shared" si="4"/>
        <v>23472400</v>
      </c>
      <c r="M16" s="17">
        <f t="shared" si="5"/>
        <v>718250</v>
      </c>
      <c r="N16" s="17">
        <f t="shared" si="6"/>
        <v>47040</v>
      </c>
      <c r="O16" s="17">
        <f t="shared" si="7"/>
        <v>1056250</v>
      </c>
      <c r="P16" s="17">
        <f t="shared" si="8"/>
        <v>164300</v>
      </c>
      <c r="Q16" s="17">
        <f t="shared" si="9"/>
        <v>211250</v>
      </c>
      <c r="R16" s="17">
        <f t="shared" si="10"/>
        <v>1956030</v>
      </c>
      <c r="S16" s="158">
        <f t="shared" si="11"/>
        <v>4153120</v>
      </c>
    </row>
    <row r="17" spans="1:19" ht="30" customHeight="1" x14ac:dyDescent="0.3">
      <c r="A17" s="14">
        <v>11</v>
      </c>
      <c r="B17" s="21" t="s">
        <v>272</v>
      </c>
      <c r="C17" s="15">
        <v>12</v>
      </c>
      <c r="D17" s="16">
        <v>2539000</v>
      </c>
      <c r="E17" s="16">
        <f t="shared" si="1"/>
        <v>30468000</v>
      </c>
      <c r="F17" s="16">
        <f t="shared" si="2"/>
        <v>3046800</v>
      </c>
      <c r="G17" s="16">
        <v>30</v>
      </c>
      <c r="H17" s="16">
        <f t="shared" ref="H17:H35" si="13">ROUNDDOWN(E17*1/209*1.5*G17,-1)</f>
        <v>6560090</v>
      </c>
      <c r="I17" s="16"/>
      <c r="J17" s="16"/>
      <c r="K17" s="158">
        <f t="shared" si="3"/>
        <v>40074890</v>
      </c>
      <c r="L17" s="158">
        <f t="shared" si="4"/>
        <v>40074890</v>
      </c>
      <c r="M17" s="17">
        <f t="shared" si="5"/>
        <v>1226290</v>
      </c>
      <c r="N17" s="17">
        <f t="shared" si="6"/>
        <v>80320</v>
      </c>
      <c r="O17" s="17">
        <f t="shared" si="7"/>
        <v>1803370</v>
      </c>
      <c r="P17" s="17">
        <f t="shared" si="8"/>
        <v>280520</v>
      </c>
      <c r="Q17" s="17">
        <f t="shared" si="9"/>
        <v>360670</v>
      </c>
      <c r="R17" s="17">
        <f t="shared" si="10"/>
        <v>3339570</v>
      </c>
      <c r="S17" s="158">
        <f t="shared" si="11"/>
        <v>7090740</v>
      </c>
    </row>
    <row r="18" spans="1:19" ht="30" customHeight="1" x14ac:dyDescent="0.3">
      <c r="A18" s="14">
        <v>12</v>
      </c>
      <c r="B18" s="21" t="s">
        <v>132</v>
      </c>
      <c r="C18" s="15">
        <v>6</v>
      </c>
      <c r="D18" s="16">
        <v>1964000</v>
      </c>
      <c r="E18" s="16">
        <f t="shared" si="1"/>
        <v>23568000</v>
      </c>
      <c r="F18" s="16">
        <f t="shared" si="2"/>
        <v>2356800</v>
      </c>
      <c r="G18" s="16">
        <v>30</v>
      </c>
      <c r="H18" s="16">
        <f t="shared" si="13"/>
        <v>5074440</v>
      </c>
      <c r="I18" s="16">
        <f>40000*12</f>
        <v>480000</v>
      </c>
      <c r="J18" s="16"/>
      <c r="K18" s="158">
        <f t="shared" si="3"/>
        <v>31479240</v>
      </c>
      <c r="L18" s="158">
        <f t="shared" si="4"/>
        <v>31479240</v>
      </c>
      <c r="M18" s="17">
        <f t="shared" si="5"/>
        <v>963260</v>
      </c>
      <c r="N18" s="17">
        <f t="shared" si="6"/>
        <v>63090</v>
      </c>
      <c r="O18" s="17">
        <f t="shared" si="7"/>
        <v>1416560</v>
      </c>
      <c r="P18" s="17">
        <f t="shared" si="8"/>
        <v>220350</v>
      </c>
      <c r="Q18" s="17">
        <f t="shared" si="9"/>
        <v>283310</v>
      </c>
      <c r="R18" s="17">
        <f t="shared" si="10"/>
        <v>2623270</v>
      </c>
      <c r="S18" s="158">
        <f t="shared" si="11"/>
        <v>5569840</v>
      </c>
    </row>
    <row r="19" spans="1:19" ht="30" customHeight="1" x14ac:dyDescent="0.3">
      <c r="A19" s="14">
        <v>13</v>
      </c>
      <c r="B19" s="21" t="s">
        <v>204</v>
      </c>
      <c r="C19" s="15">
        <v>7</v>
      </c>
      <c r="D19" s="16">
        <v>2014000</v>
      </c>
      <c r="E19" s="16">
        <f t="shared" si="1"/>
        <v>24168000</v>
      </c>
      <c r="F19" s="16">
        <f t="shared" si="2"/>
        <v>2416800</v>
      </c>
      <c r="G19" s="16">
        <v>30</v>
      </c>
      <c r="H19" s="16">
        <f t="shared" si="13"/>
        <v>5203630</v>
      </c>
      <c r="I19" s="16"/>
      <c r="J19" s="16"/>
      <c r="K19" s="158">
        <f t="shared" si="3"/>
        <v>31788430</v>
      </c>
      <c r="L19" s="158">
        <f t="shared" si="4"/>
        <v>31788430</v>
      </c>
      <c r="M19" s="17">
        <f t="shared" si="5"/>
        <v>972720</v>
      </c>
      <c r="N19" s="17">
        <f t="shared" si="6"/>
        <v>63710</v>
      </c>
      <c r="O19" s="17">
        <f t="shared" si="7"/>
        <v>1430470</v>
      </c>
      <c r="P19" s="17">
        <f t="shared" si="8"/>
        <v>222510</v>
      </c>
      <c r="Q19" s="17">
        <f t="shared" si="9"/>
        <v>286090</v>
      </c>
      <c r="R19" s="17">
        <f t="shared" si="10"/>
        <v>2649030</v>
      </c>
      <c r="S19" s="158">
        <f t="shared" si="11"/>
        <v>5624530</v>
      </c>
    </row>
    <row r="20" spans="1:19" ht="30" customHeight="1" x14ac:dyDescent="0.3">
      <c r="A20" s="14">
        <v>14</v>
      </c>
      <c r="B20" s="21" t="s">
        <v>172</v>
      </c>
      <c r="C20" s="15">
        <v>9</v>
      </c>
      <c r="D20" s="16">
        <v>2165000</v>
      </c>
      <c r="E20" s="16">
        <f t="shared" si="1"/>
        <v>25980000</v>
      </c>
      <c r="F20" s="16">
        <f t="shared" si="2"/>
        <v>2598000</v>
      </c>
      <c r="G20" s="16">
        <v>30</v>
      </c>
      <c r="H20" s="16">
        <f t="shared" si="13"/>
        <v>5593770</v>
      </c>
      <c r="I20" s="16"/>
      <c r="J20" s="16"/>
      <c r="K20" s="158">
        <f t="shared" si="3"/>
        <v>34171770</v>
      </c>
      <c r="L20" s="158">
        <f t="shared" si="4"/>
        <v>34171770</v>
      </c>
      <c r="M20" s="17">
        <f t="shared" si="5"/>
        <v>1045650</v>
      </c>
      <c r="N20" s="17">
        <f t="shared" si="6"/>
        <v>68490</v>
      </c>
      <c r="O20" s="17">
        <f t="shared" si="7"/>
        <v>1537720</v>
      </c>
      <c r="P20" s="17">
        <f t="shared" si="8"/>
        <v>239200</v>
      </c>
      <c r="Q20" s="17">
        <f t="shared" si="9"/>
        <v>307540</v>
      </c>
      <c r="R20" s="17">
        <f t="shared" si="10"/>
        <v>2847640</v>
      </c>
      <c r="S20" s="158">
        <f t="shared" si="11"/>
        <v>6046240</v>
      </c>
    </row>
    <row r="21" spans="1:19" ht="30" customHeight="1" x14ac:dyDescent="0.3">
      <c r="A21" s="14">
        <v>15</v>
      </c>
      <c r="B21" s="21" t="s">
        <v>186</v>
      </c>
      <c r="C21" s="15">
        <v>4</v>
      </c>
      <c r="D21" s="16">
        <v>1799000</v>
      </c>
      <c r="E21" s="16">
        <f t="shared" si="1"/>
        <v>21588000</v>
      </c>
      <c r="F21" s="16">
        <f t="shared" si="2"/>
        <v>2158800</v>
      </c>
      <c r="G21" s="16">
        <v>30</v>
      </c>
      <c r="H21" s="16">
        <f t="shared" si="13"/>
        <v>4648130</v>
      </c>
      <c r="I21" s="16"/>
      <c r="J21" s="16"/>
      <c r="K21" s="158">
        <f t="shared" si="3"/>
        <v>28394930</v>
      </c>
      <c r="L21" s="158">
        <f t="shared" si="4"/>
        <v>28394930</v>
      </c>
      <c r="M21" s="17">
        <f t="shared" si="5"/>
        <v>868880</v>
      </c>
      <c r="N21" s="17">
        <f t="shared" si="6"/>
        <v>56910</v>
      </c>
      <c r="O21" s="17">
        <f t="shared" si="7"/>
        <v>1277770</v>
      </c>
      <c r="P21" s="17">
        <f t="shared" si="8"/>
        <v>198760</v>
      </c>
      <c r="Q21" s="17">
        <f t="shared" si="9"/>
        <v>255550</v>
      </c>
      <c r="R21" s="17">
        <f t="shared" si="10"/>
        <v>2366240</v>
      </c>
      <c r="S21" s="158">
        <f t="shared" si="11"/>
        <v>5024110</v>
      </c>
    </row>
    <row r="22" spans="1:19" ht="30" customHeight="1" x14ac:dyDescent="0.3">
      <c r="A22" s="14">
        <v>16</v>
      </c>
      <c r="B22" s="21" t="s">
        <v>214</v>
      </c>
      <c r="C22" s="15">
        <v>4</v>
      </c>
      <c r="D22" s="16">
        <v>1799000</v>
      </c>
      <c r="E22" s="16">
        <f t="shared" si="1"/>
        <v>21588000</v>
      </c>
      <c r="F22" s="16">
        <f t="shared" si="2"/>
        <v>2158800</v>
      </c>
      <c r="G22" s="16">
        <v>30</v>
      </c>
      <c r="H22" s="16">
        <f t="shared" si="13"/>
        <v>4648130</v>
      </c>
      <c r="I22" s="16"/>
      <c r="J22" s="16"/>
      <c r="K22" s="158">
        <f t="shared" si="3"/>
        <v>28394930</v>
      </c>
      <c r="L22" s="158">
        <f t="shared" si="4"/>
        <v>28394930</v>
      </c>
      <c r="M22" s="17">
        <f t="shared" si="5"/>
        <v>868880</v>
      </c>
      <c r="N22" s="17">
        <f t="shared" si="6"/>
        <v>56910</v>
      </c>
      <c r="O22" s="17">
        <f t="shared" si="7"/>
        <v>1277770</v>
      </c>
      <c r="P22" s="17">
        <f t="shared" si="8"/>
        <v>198760</v>
      </c>
      <c r="Q22" s="17">
        <f t="shared" si="9"/>
        <v>255550</v>
      </c>
      <c r="R22" s="17">
        <f t="shared" si="10"/>
        <v>2366240</v>
      </c>
      <c r="S22" s="158">
        <f t="shared" si="11"/>
        <v>5024110</v>
      </c>
    </row>
    <row r="23" spans="1:19" ht="30" customHeight="1" x14ac:dyDescent="0.3">
      <c r="A23" s="14">
        <v>17</v>
      </c>
      <c r="B23" s="21" t="s">
        <v>207</v>
      </c>
      <c r="C23" s="15">
        <v>4</v>
      </c>
      <c r="D23" s="16">
        <v>1799000</v>
      </c>
      <c r="E23" s="16">
        <f t="shared" si="1"/>
        <v>21588000</v>
      </c>
      <c r="F23" s="16">
        <f t="shared" si="2"/>
        <v>2158800</v>
      </c>
      <c r="G23" s="16">
        <v>30</v>
      </c>
      <c r="H23" s="16">
        <f t="shared" si="13"/>
        <v>4648130</v>
      </c>
      <c r="I23" s="16"/>
      <c r="J23" s="16"/>
      <c r="K23" s="158">
        <f t="shared" si="3"/>
        <v>28394930</v>
      </c>
      <c r="L23" s="158">
        <f t="shared" si="4"/>
        <v>28394930</v>
      </c>
      <c r="M23" s="17">
        <f t="shared" si="5"/>
        <v>868880</v>
      </c>
      <c r="N23" s="17">
        <f t="shared" si="6"/>
        <v>56910</v>
      </c>
      <c r="O23" s="17">
        <f t="shared" si="7"/>
        <v>1277770</v>
      </c>
      <c r="P23" s="17">
        <f t="shared" si="8"/>
        <v>198760</v>
      </c>
      <c r="Q23" s="17">
        <f t="shared" si="9"/>
        <v>255550</v>
      </c>
      <c r="R23" s="17">
        <f t="shared" si="10"/>
        <v>2366240</v>
      </c>
      <c r="S23" s="158">
        <f t="shared" si="11"/>
        <v>5024110</v>
      </c>
    </row>
    <row r="24" spans="1:19" ht="30" customHeight="1" x14ac:dyDescent="0.3">
      <c r="A24" s="14">
        <v>18</v>
      </c>
      <c r="B24" s="21" t="s">
        <v>148</v>
      </c>
      <c r="C24" s="15">
        <v>4</v>
      </c>
      <c r="D24" s="16">
        <v>1799000</v>
      </c>
      <c r="E24" s="16">
        <f t="shared" si="1"/>
        <v>21588000</v>
      </c>
      <c r="F24" s="16">
        <f t="shared" si="2"/>
        <v>2158800</v>
      </c>
      <c r="G24" s="16">
        <v>30</v>
      </c>
      <c r="H24" s="16">
        <f t="shared" si="13"/>
        <v>4648130</v>
      </c>
      <c r="I24" s="16"/>
      <c r="J24" s="16"/>
      <c r="K24" s="158">
        <f t="shared" si="3"/>
        <v>28394930</v>
      </c>
      <c r="L24" s="158">
        <f t="shared" si="4"/>
        <v>28394930</v>
      </c>
      <c r="M24" s="17">
        <f t="shared" si="5"/>
        <v>868880</v>
      </c>
      <c r="N24" s="17">
        <f t="shared" si="6"/>
        <v>56910</v>
      </c>
      <c r="O24" s="17">
        <f t="shared" si="7"/>
        <v>1277770</v>
      </c>
      <c r="P24" s="17">
        <f t="shared" si="8"/>
        <v>198760</v>
      </c>
      <c r="Q24" s="17">
        <f t="shared" si="9"/>
        <v>255550</v>
      </c>
      <c r="R24" s="17">
        <f t="shared" si="10"/>
        <v>2366240</v>
      </c>
      <c r="S24" s="158">
        <f t="shared" si="11"/>
        <v>5024110</v>
      </c>
    </row>
    <row r="25" spans="1:19" ht="30" customHeight="1" x14ac:dyDescent="0.3">
      <c r="A25" s="14">
        <v>19</v>
      </c>
      <c r="B25" s="21" t="s">
        <v>189</v>
      </c>
      <c r="C25" s="15">
        <v>2</v>
      </c>
      <c r="D25" s="16">
        <v>1690000</v>
      </c>
      <c r="E25" s="16">
        <f t="shared" si="1"/>
        <v>20280000</v>
      </c>
      <c r="F25" s="16">
        <f t="shared" si="2"/>
        <v>2028000</v>
      </c>
      <c r="G25" s="16">
        <v>30</v>
      </c>
      <c r="H25" s="16">
        <f t="shared" si="13"/>
        <v>4366500</v>
      </c>
      <c r="I25" s="16">
        <f>20000*12</f>
        <v>240000</v>
      </c>
      <c r="J25" s="16"/>
      <c r="K25" s="158">
        <f t="shared" si="3"/>
        <v>26914500</v>
      </c>
      <c r="L25" s="158">
        <f t="shared" si="4"/>
        <v>26914500</v>
      </c>
      <c r="M25" s="17">
        <f t="shared" si="5"/>
        <v>823580</v>
      </c>
      <c r="N25" s="17">
        <f t="shared" si="6"/>
        <v>53940</v>
      </c>
      <c r="O25" s="17">
        <f t="shared" si="7"/>
        <v>1211150</v>
      </c>
      <c r="P25" s="17">
        <f t="shared" si="8"/>
        <v>188400</v>
      </c>
      <c r="Q25" s="17">
        <f t="shared" si="9"/>
        <v>242230</v>
      </c>
      <c r="R25" s="17">
        <f t="shared" si="10"/>
        <v>2242870</v>
      </c>
      <c r="S25" s="158">
        <f t="shared" si="11"/>
        <v>4762170</v>
      </c>
    </row>
    <row r="26" spans="1:19" ht="30" customHeight="1" x14ac:dyDescent="0.3">
      <c r="A26" s="14">
        <v>20</v>
      </c>
      <c r="B26" s="21" t="s">
        <v>180</v>
      </c>
      <c r="C26" s="15">
        <v>6</v>
      </c>
      <c r="D26" s="16">
        <v>1964000</v>
      </c>
      <c r="E26" s="16">
        <f t="shared" si="1"/>
        <v>23568000</v>
      </c>
      <c r="F26" s="16">
        <f t="shared" si="2"/>
        <v>2356800</v>
      </c>
      <c r="G26" s="16">
        <v>30</v>
      </c>
      <c r="H26" s="16">
        <f t="shared" si="13"/>
        <v>5074440</v>
      </c>
      <c r="I26" s="16"/>
      <c r="J26" s="16"/>
      <c r="K26" s="158">
        <f t="shared" si="3"/>
        <v>30999240</v>
      </c>
      <c r="L26" s="158">
        <f t="shared" si="4"/>
        <v>30999240</v>
      </c>
      <c r="M26" s="17">
        <f t="shared" si="5"/>
        <v>948570</v>
      </c>
      <c r="N26" s="17">
        <f t="shared" si="6"/>
        <v>62130</v>
      </c>
      <c r="O26" s="17">
        <f t="shared" si="7"/>
        <v>1394960</v>
      </c>
      <c r="P26" s="17">
        <f t="shared" si="8"/>
        <v>216990</v>
      </c>
      <c r="Q26" s="17">
        <f t="shared" si="9"/>
        <v>278990</v>
      </c>
      <c r="R26" s="17">
        <f t="shared" si="10"/>
        <v>2583270</v>
      </c>
      <c r="S26" s="158">
        <f t="shared" si="11"/>
        <v>5484910</v>
      </c>
    </row>
    <row r="27" spans="1:19" ht="30" customHeight="1" x14ac:dyDescent="0.3">
      <c r="A27" s="14">
        <v>21</v>
      </c>
      <c r="B27" s="21" t="s">
        <v>187</v>
      </c>
      <c r="C27" s="15">
        <v>7</v>
      </c>
      <c r="D27" s="16">
        <v>2014000</v>
      </c>
      <c r="E27" s="16">
        <f t="shared" si="1"/>
        <v>24168000</v>
      </c>
      <c r="F27" s="16">
        <f t="shared" si="2"/>
        <v>2416800</v>
      </c>
      <c r="G27" s="16">
        <v>30</v>
      </c>
      <c r="H27" s="16">
        <f t="shared" si="13"/>
        <v>5203630</v>
      </c>
      <c r="I27" s="16"/>
      <c r="J27" s="16"/>
      <c r="K27" s="158">
        <f t="shared" si="3"/>
        <v>31788430</v>
      </c>
      <c r="L27" s="158">
        <f t="shared" si="4"/>
        <v>31788430</v>
      </c>
      <c r="M27" s="17">
        <f t="shared" si="5"/>
        <v>972720</v>
      </c>
      <c r="N27" s="17">
        <f t="shared" si="6"/>
        <v>63710</v>
      </c>
      <c r="O27" s="17">
        <f t="shared" si="7"/>
        <v>1430470</v>
      </c>
      <c r="P27" s="17">
        <f t="shared" si="8"/>
        <v>222510</v>
      </c>
      <c r="Q27" s="17">
        <f t="shared" si="9"/>
        <v>286090</v>
      </c>
      <c r="R27" s="17">
        <f t="shared" si="10"/>
        <v>2649030</v>
      </c>
      <c r="S27" s="158">
        <f t="shared" si="11"/>
        <v>5624530</v>
      </c>
    </row>
    <row r="28" spans="1:19" ht="30" customHeight="1" x14ac:dyDescent="0.3">
      <c r="A28" s="14">
        <v>22</v>
      </c>
      <c r="B28" s="21" t="s">
        <v>213</v>
      </c>
      <c r="C28" s="15">
        <v>2</v>
      </c>
      <c r="D28" s="16">
        <v>1690000</v>
      </c>
      <c r="E28" s="16">
        <f t="shared" si="1"/>
        <v>20280000</v>
      </c>
      <c r="F28" s="16">
        <f t="shared" si="2"/>
        <v>2028000</v>
      </c>
      <c r="G28" s="16">
        <v>30</v>
      </c>
      <c r="H28" s="16">
        <f t="shared" si="13"/>
        <v>4366500</v>
      </c>
      <c r="I28" s="16"/>
      <c r="J28" s="16"/>
      <c r="K28" s="158">
        <f t="shared" si="3"/>
        <v>26674500</v>
      </c>
      <c r="L28" s="158">
        <f t="shared" si="4"/>
        <v>26674500</v>
      </c>
      <c r="M28" s="17">
        <f t="shared" si="5"/>
        <v>816230</v>
      </c>
      <c r="N28" s="17">
        <f t="shared" si="6"/>
        <v>53460</v>
      </c>
      <c r="O28" s="17">
        <f t="shared" si="7"/>
        <v>1200350</v>
      </c>
      <c r="P28" s="17">
        <f t="shared" si="8"/>
        <v>186720</v>
      </c>
      <c r="Q28" s="17">
        <f t="shared" si="9"/>
        <v>240070</v>
      </c>
      <c r="R28" s="17">
        <f t="shared" si="10"/>
        <v>2222870</v>
      </c>
      <c r="S28" s="158">
        <f t="shared" si="11"/>
        <v>4719700</v>
      </c>
    </row>
    <row r="29" spans="1:19" ht="30" customHeight="1" x14ac:dyDescent="0.3">
      <c r="A29" s="14">
        <v>23</v>
      </c>
      <c r="B29" s="21" t="s">
        <v>131</v>
      </c>
      <c r="C29" s="15">
        <v>2</v>
      </c>
      <c r="D29" s="16">
        <v>1690000</v>
      </c>
      <c r="E29" s="16">
        <f t="shared" si="1"/>
        <v>20280000</v>
      </c>
      <c r="F29" s="16">
        <f t="shared" si="2"/>
        <v>2028000</v>
      </c>
      <c r="G29" s="16">
        <v>30</v>
      </c>
      <c r="H29" s="16">
        <f t="shared" si="13"/>
        <v>4366500</v>
      </c>
      <c r="I29" s="16"/>
      <c r="J29" s="16"/>
      <c r="K29" s="158">
        <f t="shared" si="3"/>
        <v>26674500</v>
      </c>
      <c r="L29" s="158">
        <f t="shared" si="4"/>
        <v>26674500</v>
      </c>
      <c r="M29" s="17">
        <f t="shared" si="5"/>
        <v>816230</v>
      </c>
      <c r="N29" s="17">
        <f t="shared" si="6"/>
        <v>53460</v>
      </c>
      <c r="O29" s="17">
        <f t="shared" si="7"/>
        <v>1200350</v>
      </c>
      <c r="P29" s="17">
        <f t="shared" si="8"/>
        <v>186720</v>
      </c>
      <c r="Q29" s="17">
        <f t="shared" si="9"/>
        <v>240070</v>
      </c>
      <c r="R29" s="17">
        <f t="shared" si="10"/>
        <v>2222870</v>
      </c>
      <c r="S29" s="158">
        <f t="shared" si="11"/>
        <v>4719700</v>
      </c>
    </row>
    <row r="30" spans="1:19" ht="30" customHeight="1" x14ac:dyDescent="0.3">
      <c r="A30" s="14">
        <v>24</v>
      </c>
      <c r="B30" s="21" t="s">
        <v>177</v>
      </c>
      <c r="C30" s="15">
        <v>7</v>
      </c>
      <c r="D30" s="16">
        <v>2014000</v>
      </c>
      <c r="E30" s="16">
        <f t="shared" si="1"/>
        <v>24168000</v>
      </c>
      <c r="F30" s="16">
        <f t="shared" si="2"/>
        <v>2416800</v>
      </c>
      <c r="G30" s="16">
        <v>30</v>
      </c>
      <c r="H30" s="16">
        <f t="shared" si="13"/>
        <v>5203630</v>
      </c>
      <c r="I30" s="16"/>
      <c r="J30" s="16"/>
      <c r="K30" s="158">
        <f t="shared" si="3"/>
        <v>31788430</v>
      </c>
      <c r="L30" s="158">
        <f t="shared" si="4"/>
        <v>31788430</v>
      </c>
      <c r="M30" s="17">
        <f t="shared" si="5"/>
        <v>972720</v>
      </c>
      <c r="N30" s="17">
        <f t="shared" si="6"/>
        <v>63710</v>
      </c>
      <c r="O30" s="17">
        <f t="shared" si="7"/>
        <v>1430470</v>
      </c>
      <c r="P30" s="17">
        <f t="shared" si="8"/>
        <v>222510</v>
      </c>
      <c r="Q30" s="17">
        <f t="shared" si="9"/>
        <v>286090</v>
      </c>
      <c r="R30" s="17">
        <f t="shared" si="10"/>
        <v>2649030</v>
      </c>
      <c r="S30" s="158">
        <f t="shared" si="11"/>
        <v>5624530</v>
      </c>
    </row>
    <row r="31" spans="1:19" ht="30" customHeight="1" x14ac:dyDescent="0.3">
      <c r="A31" s="14">
        <v>25</v>
      </c>
      <c r="B31" s="21" t="s">
        <v>190</v>
      </c>
      <c r="C31" s="15">
        <v>1</v>
      </c>
      <c r="D31" s="16">
        <v>1799000</v>
      </c>
      <c r="E31" s="16">
        <f t="shared" si="1"/>
        <v>21588000</v>
      </c>
      <c r="F31" s="16">
        <f t="shared" si="2"/>
        <v>2158800</v>
      </c>
      <c r="G31" s="16">
        <v>30</v>
      </c>
      <c r="H31" s="16">
        <f t="shared" si="13"/>
        <v>4648130</v>
      </c>
      <c r="I31" s="16">
        <f>20000*12</f>
        <v>240000</v>
      </c>
      <c r="J31" s="16"/>
      <c r="K31" s="158">
        <f t="shared" si="3"/>
        <v>28634930</v>
      </c>
      <c r="L31" s="158">
        <f t="shared" si="4"/>
        <v>28634930</v>
      </c>
      <c r="M31" s="17">
        <f t="shared" si="5"/>
        <v>876220</v>
      </c>
      <c r="N31" s="17">
        <f t="shared" si="6"/>
        <v>57390</v>
      </c>
      <c r="O31" s="17">
        <f t="shared" si="7"/>
        <v>1288570</v>
      </c>
      <c r="P31" s="17">
        <f t="shared" si="8"/>
        <v>200440</v>
      </c>
      <c r="Q31" s="17">
        <f t="shared" si="9"/>
        <v>257710</v>
      </c>
      <c r="R31" s="17">
        <f t="shared" si="10"/>
        <v>2386240</v>
      </c>
      <c r="S31" s="158">
        <f t="shared" si="11"/>
        <v>5066570</v>
      </c>
    </row>
    <row r="32" spans="1:19" ht="30" customHeight="1" x14ac:dyDescent="0.3">
      <c r="A32" s="14">
        <v>26</v>
      </c>
      <c r="B32" s="21" t="s">
        <v>158</v>
      </c>
      <c r="C32" s="15">
        <v>9</v>
      </c>
      <c r="D32" s="16">
        <v>2165000</v>
      </c>
      <c r="E32" s="16">
        <f t="shared" si="1"/>
        <v>25980000</v>
      </c>
      <c r="F32" s="16">
        <f t="shared" si="2"/>
        <v>2598000</v>
      </c>
      <c r="G32" s="16">
        <v>30</v>
      </c>
      <c r="H32" s="16">
        <f t="shared" si="13"/>
        <v>5593770</v>
      </c>
      <c r="I32" s="16"/>
      <c r="J32" s="16"/>
      <c r="K32" s="158">
        <f t="shared" si="3"/>
        <v>34171770</v>
      </c>
      <c r="L32" s="158">
        <f t="shared" si="4"/>
        <v>34171770</v>
      </c>
      <c r="M32" s="17">
        <f t="shared" si="5"/>
        <v>1045650</v>
      </c>
      <c r="N32" s="17">
        <f t="shared" si="6"/>
        <v>68490</v>
      </c>
      <c r="O32" s="17">
        <f t="shared" si="7"/>
        <v>1537720</v>
      </c>
      <c r="P32" s="17">
        <f t="shared" si="8"/>
        <v>239200</v>
      </c>
      <c r="Q32" s="17">
        <f t="shared" si="9"/>
        <v>307540</v>
      </c>
      <c r="R32" s="17">
        <f t="shared" si="10"/>
        <v>2847640</v>
      </c>
      <c r="S32" s="158">
        <f t="shared" si="11"/>
        <v>6046240</v>
      </c>
    </row>
    <row r="33" spans="1:19" ht="30" customHeight="1" x14ac:dyDescent="0.3">
      <c r="A33" s="14">
        <v>27</v>
      </c>
      <c r="B33" s="14" t="s">
        <v>185</v>
      </c>
      <c r="C33" s="15">
        <v>7</v>
      </c>
      <c r="D33" s="16">
        <v>1025000</v>
      </c>
      <c r="E33" s="16">
        <f t="shared" si="1"/>
        <v>12300000</v>
      </c>
      <c r="F33" s="16">
        <f t="shared" si="2"/>
        <v>1230000</v>
      </c>
      <c r="G33" s="16">
        <v>30</v>
      </c>
      <c r="H33" s="16">
        <f t="shared" si="13"/>
        <v>2648320</v>
      </c>
      <c r="I33" s="16">
        <f>60000*12</f>
        <v>720000</v>
      </c>
      <c r="J33" s="16"/>
      <c r="K33" s="158">
        <f t="shared" si="3"/>
        <v>16898320</v>
      </c>
      <c r="L33" s="158">
        <f t="shared" si="4"/>
        <v>16898320</v>
      </c>
      <c r="M33" s="17">
        <f t="shared" si="5"/>
        <v>517080</v>
      </c>
      <c r="N33" s="17">
        <f t="shared" si="6"/>
        <v>33860</v>
      </c>
      <c r="O33" s="17">
        <f t="shared" si="7"/>
        <v>760420</v>
      </c>
      <c r="P33" s="17">
        <f t="shared" si="8"/>
        <v>118280</v>
      </c>
      <c r="Q33" s="17">
        <f t="shared" si="9"/>
        <v>152080</v>
      </c>
      <c r="R33" s="17">
        <f t="shared" si="10"/>
        <v>1408190</v>
      </c>
      <c r="S33" s="158">
        <f t="shared" si="11"/>
        <v>2989910</v>
      </c>
    </row>
    <row r="34" spans="1:19" ht="30" customHeight="1" x14ac:dyDescent="0.3">
      <c r="A34" s="14">
        <v>28</v>
      </c>
      <c r="B34" s="14" t="s">
        <v>174</v>
      </c>
      <c r="C34" s="15">
        <v>3</v>
      </c>
      <c r="D34" s="16">
        <v>871000</v>
      </c>
      <c r="E34" s="16">
        <f t="shared" si="1"/>
        <v>10452000</v>
      </c>
      <c r="F34" s="16">
        <f t="shared" si="2"/>
        <v>1045200</v>
      </c>
      <c r="G34" s="22">
        <v>30</v>
      </c>
      <c r="H34" s="16">
        <f t="shared" si="13"/>
        <v>2250430</v>
      </c>
      <c r="I34" s="16"/>
      <c r="J34" s="16"/>
      <c r="K34" s="158">
        <f t="shared" si="3"/>
        <v>13747630</v>
      </c>
      <c r="L34" s="158">
        <f t="shared" si="4"/>
        <v>13747630</v>
      </c>
      <c r="M34" s="17">
        <f t="shared" si="5"/>
        <v>420670</v>
      </c>
      <c r="N34" s="17">
        <f t="shared" si="6"/>
        <v>27550</v>
      </c>
      <c r="O34" s="17">
        <f t="shared" si="7"/>
        <v>618640</v>
      </c>
      <c r="P34" s="17">
        <f t="shared" si="8"/>
        <v>96230</v>
      </c>
      <c r="Q34" s="17">
        <f t="shared" si="9"/>
        <v>123720</v>
      </c>
      <c r="R34" s="17">
        <f t="shared" si="10"/>
        <v>1145630</v>
      </c>
      <c r="S34" s="158">
        <f t="shared" si="11"/>
        <v>2432440</v>
      </c>
    </row>
    <row r="35" spans="1:19" ht="30" customHeight="1" x14ac:dyDescent="0.3">
      <c r="A35" s="14">
        <v>29</v>
      </c>
      <c r="B35" s="23" t="s">
        <v>92</v>
      </c>
      <c r="C35" s="15">
        <v>5</v>
      </c>
      <c r="D35" s="16">
        <v>963000</v>
      </c>
      <c r="E35" s="16">
        <f t="shared" si="1"/>
        <v>11556000</v>
      </c>
      <c r="F35" s="16">
        <f t="shared" si="2"/>
        <v>1155600</v>
      </c>
      <c r="G35" s="16">
        <v>8</v>
      </c>
      <c r="H35" s="16">
        <f t="shared" si="13"/>
        <v>663500</v>
      </c>
      <c r="I35" s="16">
        <f>40000*12</f>
        <v>480000</v>
      </c>
      <c r="J35" s="16">
        <v>30000</v>
      </c>
      <c r="K35" s="158">
        <f t="shared" si="3"/>
        <v>13885100</v>
      </c>
      <c r="L35" s="158">
        <f t="shared" si="4"/>
        <v>13885100</v>
      </c>
      <c r="M35" s="17">
        <f t="shared" si="5"/>
        <v>424880</v>
      </c>
      <c r="N35" s="17">
        <f t="shared" si="6"/>
        <v>27820</v>
      </c>
      <c r="O35" s="17">
        <f t="shared" si="7"/>
        <v>624820</v>
      </c>
      <c r="P35" s="17">
        <f t="shared" si="8"/>
        <v>97190</v>
      </c>
      <c r="Q35" s="17">
        <f t="shared" si="9"/>
        <v>124960</v>
      </c>
      <c r="R35" s="17">
        <f t="shared" si="10"/>
        <v>1157090</v>
      </c>
      <c r="S35" s="158">
        <f t="shared" si="11"/>
        <v>2456760</v>
      </c>
    </row>
    <row r="36" spans="1:19" ht="23.25" hidden="1" customHeight="1" x14ac:dyDescent="0.3">
      <c r="D36" s="24"/>
      <c r="E36" s="24"/>
      <c r="F36" s="24"/>
      <c r="G36" s="25"/>
      <c r="H36" s="24"/>
      <c r="I36" s="24"/>
      <c r="J36" s="24"/>
      <c r="K36" s="24"/>
      <c r="L36" s="18"/>
      <c r="M36" s="17" t="e">
        <f>ROUNDDOWN((L36-#REF!)*2.945%,-1)</f>
        <v>#REF!</v>
      </c>
      <c r="N36" s="17"/>
      <c r="O36" s="17" t="e">
        <f>ROUNDDOWN((L36-#REF!)*0.045,-1)</f>
        <v>#REF!</v>
      </c>
      <c r="P36" s="17">
        <f t="shared" si="8"/>
        <v>0</v>
      </c>
      <c r="Q36" s="17">
        <f t="shared" si="9"/>
        <v>0</v>
      </c>
      <c r="R36" s="17">
        <f>ROUNDDOWN(L36/12,-1)</f>
        <v>0</v>
      </c>
      <c r="S36" s="18"/>
    </row>
    <row r="37" spans="1:19" ht="35.1" hidden="1" customHeight="1" x14ac:dyDescent="0.3">
      <c r="L37" s="18"/>
      <c r="M37" s="17">
        <f>ROUNDDOWN((L37-K38)*2.945%,-1)</f>
        <v>0</v>
      </c>
      <c r="N37" s="17"/>
      <c r="O37" s="17"/>
      <c r="P37" s="17"/>
      <c r="Q37" s="17"/>
      <c r="R37" s="17"/>
      <c r="S37" s="18"/>
    </row>
    <row r="38" spans="1:19" x14ac:dyDescent="0.3">
      <c r="L38" s="24"/>
    </row>
    <row r="39" spans="1:19" x14ac:dyDescent="0.3">
      <c r="L39" s="6"/>
    </row>
  </sheetData>
  <mergeCells count="13">
    <mergeCell ref="A1:S1"/>
    <mergeCell ref="K3:K5"/>
    <mergeCell ref="L3:L5"/>
    <mergeCell ref="M3:S4"/>
    <mergeCell ref="F3:F4"/>
    <mergeCell ref="G3:H3"/>
    <mergeCell ref="I3:I4"/>
    <mergeCell ref="J3:J4"/>
    <mergeCell ref="A6:C6"/>
    <mergeCell ref="A3:A5"/>
    <mergeCell ref="B3:B5"/>
    <mergeCell ref="C3:C5"/>
    <mergeCell ref="D3:E4"/>
  </mergeCells>
  <phoneticPr fontId="26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5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N39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F5" sqref="F5"/>
    </sheetView>
  </sheetViews>
  <sheetFormatPr defaultColWidth="8.875" defaultRowHeight="16.5" x14ac:dyDescent="0.3"/>
  <cols>
    <col min="1" max="1" width="5.75" style="159" customWidth="1"/>
    <col min="2" max="2" width="16.25" style="160" customWidth="1"/>
    <col min="3" max="3" width="9.25" style="160" bestFit="1" customWidth="1"/>
    <col min="4" max="4" width="7.75" style="160" customWidth="1"/>
    <col min="5" max="5" width="15" style="163" hidden="1" customWidth="1"/>
    <col min="6" max="6" width="16.625" style="163" customWidth="1"/>
    <col min="7" max="7" width="14.125" style="163" hidden="1" customWidth="1"/>
    <col min="8" max="8" width="12.125" style="163" hidden="1" customWidth="1"/>
    <col min="9" max="9" width="14.125" style="163" hidden="1" bestFit="1" customWidth="1"/>
    <col min="10" max="10" width="12.125" style="164" hidden="1" customWidth="1"/>
    <col min="11" max="12" width="14.5" style="164" bestFit="1" customWidth="1"/>
    <col min="13" max="13" width="15.75" style="165" bestFit="1" customWidth="1"/>
    <col min="14" max="14" width="14.5" style="164" bestFit="1" customWidth="1"/>
    <col min="241" max="241" width="6" customWidth="1"/>
    <col min="242" max="242" width="10" customWidth="1"/>
    <col min="243" max="243" width="17.375" customWidth="1"/>
    <col min="244" max="244" width="6.375" customWidth="1"/>
    <col min="245" max="245" width="6.5" customWidth="1"/>
    <col min="246" max="246" width="6.25" customWidth="1"/>
    <col min="247" max="248" width="17.625" customWidth="1"/>
    <col min="249" max="249" width="17.375" customWidth="1"/>
    <col min="250" max="251" width="16.125" customWidth="1"/>
    <col min="252" max="252" width="13.5" customWidth="1"/>
    <col min="253" max="253" width="15.125" customWidth="1"/>
    <col min="254" max="254" width="7.75" customWidth="1"/>
    <col min="255" max="255" width="16.125" customWidth="1"/>
    <col min="256" max="256" width="16" customWidth="1"/>
    <col min="257" max="257" width="14.25" customWidth="1"/>
    <col min="258" max="258" width="15.5" customWidth="1"/>
    <col min="259" max="259" width="16" customWidth="1"/>
    <col min="260" max="261" width="15.25" customWidth="1"/>
    <col min="262" max="270" width="0" hidden="1" customWidth="1"/>
    <col min="497" max="497" width="6" customWidth="1"/>
    <col min="498" max="498" width="10" customWidth="1"/>
    <col min="499" max="499" width="17.375" customWidth="1"/>
    <col min="500" max="500" width="6.375" customWidth="1"/>
    <col min="501" max="501" width="6.5" customWidth="1"/>
    <col min="502" max="502" width="6.25" customWidth="1"/>
    <col min="503" max="504" width="17.625" customWidth="1"/>
    <col min="505" max="505" width="17.375" customWidth="1"/>
    <col min="506" max="507" width="16.125" customWidth="1"/>
    <col min="508" max="508" width="13.5" customWidth="1"/>
    <col min="509" max="509" width="15.125" customWidth="1"/>
    <col min="510" max="510" width="7.75" customWidth="1"/>
    <col min="511" max="511" width="16.125" customWidth="1"/>
    <col min="512" max="512" width="16" customWidth="1"/>
    <col min="513" max="513" width="14.25" customWidth="1"/>
    <col min="514" max="514" width="15.5" customWidth="1"/>
    <col min="515" max="515" width="16" customWidth="1"/>
    <col min="516" max="517" width="15.25" customWidth="1"/>
    <col min="518" max="526" width="0" hidden="1" customWidth="1"/>
    <col min="753" max="753" width="6" customWidth="1"/>
    <col min="754" max="754" width="10" customWidth="1"/>
    <col min="755" max="755" width="17.375" customWidth="1"/>
    <col min="756" max="756" width="6.375" customWidth="1"/>
    <col min="757" max="757" width="6.5" customWidth="1"/>
    <col min="758" max="758" width="6.25" customWidth="1"/>
    <col min="759" max="760" width="17.625" customWidth="1"/>
    <col min="761" max="761" width="17.375" customWidth="1"/>
    <col min="762" max="763" width="16.125" customWidth="1"/>
    <col min="764" max="764" width="13.5" customWidth="1"/>
    <col min="765" max="765" width="15.125" customWidth="1"/>
    <col min="766" max="766" width="7.75" customWidth="1"/>
    <col min="767" max="767" width="16.125" customWidth="1"/>
    <col min="768" max="768" width="16" customWidth="1"/>
    <col min="769" max="769" width="14.25" customWidth="1"/>
    <col min="770" max="770" width="15.5" customWidth="1"/>
    <col min="771" max="771" width="16" customWidth="1"/>
    <col min="772" max="773" width="15.25" customWidth="1"/>
    <col min="774" max="782" width="0" hidden="1" customWidth="1"/>
    <col min="1009" max="1009" width="6" customWidth="1"/>
    <col min="1010" max="1010" width="10" customWidth="1"/>
    <col min="1011" max="1011" width="17.375" customWidth="1"/>
    <col min="1012" max="1012" width="6.375" customWidth="1"/>
    <col min="1013" max="1013" width="6.5" customWidth="1"/>
    <col min="1014" max="1014" width="6.25" customWidth="1"/>
    <col min="1015" max="1016" width="17.625" customWidth="1"/>
    <col min="1017" max="1017" width="17.375" customWidth="1"/>
    <col min="1018" max="1019" width="16.125" customWidth="1"/>
    <col min="1020" max="1020" width="13.5" customWidth="1"/>
    <col min="1021" max="1021" width="15.125" customWidth="1"/>
    <col min="1022" max="1022" width="7.75" customWidth="1"/>
    <col min="1023" max="1023" width="16.125" customWidth="1"/>
    <col min="1024" max="1024" width="16" customWidth="1"/>
    <col min="1025" max="1025" width="14.25" customWidth="1"/>
    <col min="1026" max="1026" width="15.5" customWidth="1"/>
    <col min="1027" max="1027" width="16" customWidth="1"/>
    <col min="1028" max="1029" width="15.25" customWidth="1"/>
    <col min="1030" max="1038" width="0" hidden="1" customWidth="1"/>
    <col min="1265" max="1265" width="6" customWidth="1"/>
    <col min="1266" max="1266" width="10" customWidth="1"/>
    <col min="1267" max="1267" width="17.375" customWidth="1"/>
    <col min="1268" max="1268" width="6.375" customWidth="1"/>
    <col min="1269" max="1269" width="6.5" customWidth="1"/>
    <col min="1270" max="1270" width="6.25" customWidth="1"/>
    <col min="1271" max="1272" width="17.625" customWidth="1"/>
    <col min="1273" max="1273" width="17.375" customWidth="1"/>
    <col min="1274" max="1275" width="16.125" customWidth="1"/>
    <col min="1276" max="1276" width="13.5" customWidth="1"/>
    <col min="1277" max="1277" width="15.125" customWidth="1"/>
    <col min="1278" max="1278" width="7.75" customWidth="1"/>
    <col min="1279" max="1279" width="16.125" customWidth="1"/>
    <col min="1280" max="1280" width="16" customWidth="1"/>
    <col min="1281" max="1281" width="14.25" customWidth="1"/>
    <col min="1282" max="1282" width="15.5" customWidth="1"/>
    <col min="1283" max="1283" width="16" customWidth="1"/>
    <col min="1284" max="1285" width="15.25" customWidth="1"/>
    <col min="1286" max="1294" width="0" hidden="1" customWidth="1"/>
    <col min="1521" max="1521" width="6" customWidth="1"/>
    <col min="1522" max="1522" width="10" customWidth="1"/>
    <col min="1523" max="1523" width="17.375" customWidth="1"/>
    <col min="1524" max="1524" width="6.375" customWidth="1"/>
    <col min="1525" max="1525" width="6.5" customWidth="1"/>
    <col min="1526" max="1526" width="6.25" customWidth="1"/>
    <col min="1527" max="1528" width="17.625" customWidth="1"/>
    <col min="1529" max="1529" width="17.375" customWidth="1"/>
    <col min="1530" max="1531" width="16.125" customWidth="1"/>
    <col min="1532" max="1532" width="13.5" customWidth="1"/>
    <col min="1533" max="1533" width="15.125" customWidth="1"/>
    <col min="1534" max="1534" width="7.75" customWidth="1"/>
    <col min="1535" max="1535" width="16.125" customWidth="1"/>
    <col min="1536" max="1536" width="16" customWidth="1"/>
    <col min="1537" max="1537" width="14.25" customWidth="1"/>
    <col min="1538" max="1538" width="15.5" customWidth="1"/>
    <col min="1539" max="1539" width="16" customWidth="1"/>
    <col min="1540" max="1541" width="15.25" customWidth="1"/>
    <col min="1542" max="1550" width="0" hidden="1" customWidth="1"/>
    <col min="1777" max="1777" width="6" customWidth="1"/>
    <col min="1778" max="1778" width="10" customWidth="1"/>
    <col min="1779" max="1779" width="17.375" customWidth="1"/>
    <col min="1780" max="1780" width="6.375" customWidth="1"/>
    <col min="1781" max="1781" width="6.5" customWidth="1"/>
    <col min="1782" max="1782" width="6.25" customWidth="1"/>
    <col min="1783" max="1784" width="17.625" customWidth="1"/>
    <col min="1785" max="1785" width="17.375" customWidth="1"/>
    <col min="1786" max="1787" width="16.125" customWidth="1"/>
    <col min="1788" max="1788" width="13.5" customWidth="1"/>
    <col min="1789" max="1789" width="15.125" customWidth="1"/>
    <col min="1790" max="1790" width="7.75" customWidth="1"/>
    <col min="1791" max="1791" width="16.125" customWidth="1"/>
    <col min="1792" max="1792" width="16" customWidth="1"/>
    <col min="1793" max="1793" width="14.25" customWidth="1"/>
    <col min="1794" max="1794" width="15.5" customWidth="1"/>
    <col min="1795" max="1795" width="16" customWidth="1"/>
    <col min="1796" max="1797" width="15.25" customWidth="1"/>
    <col min="1798" max="1806" width="0" hidden="1" customWidth="1"/>
    <col min="2033" max="2033" width="6" customWidth="1"/>
    <col min="2034" max="2034" width="10" customWidth="1"/>
    <col min="2035" max="2035" width="17.375" customWidth="1"/>
    <col min="2036" max="2036" width="6.375" customWidth="1"/>
    <col min="2037" max="2037" width="6.5" customWidth="1"/>
    <col min="2038" max="2038" width="6.25" customWidth="1"/>
    <col min="2039" max="2040" width="17.625" customWidth="1"/>
    <col min="2041" max="2041" width="17.375" customWidth="1"/>
    <col min="2042" max="2043" width="16.125" customWidth="1"/>
    <col min="2044" max="2044" width="13.5" customWidth="1"/>
    <col min="2045" max="2045" width="15.125" customWidth="1"/>
    <col min="2046" max="2046" width="7.75" customWidth="1"/>
    <col min="2047" max="2047" width="16.125" customWidth="1"/>
    <col min="2048" max="2048" width="16" customWidth="1"/>
    <col min="2049" max="2049" width="14.25" customWidth="1"/>
    <col min="2050" max="2050" width="15.5" customWidth="1"/>
    <col min="2051" max="2051" width="16" customWidth="1"/>
    <col min="2052" max="2053" width="15.25" customWidth="1"/>
    <col min="2054" max="2062" width="0" hidden="1" customWidth="1"/>
    <col min="2289" max="2289" width="6" customWidth="1"/>
    <col min="2290" max="2290" width="10" customWidth="1"/>
    <col min="2291" max="2291" width="17.375" customWidth="1"/>
    <col min="2292" max="2292" width="6.375" customWidth="1"/>
    <col min="2293" max="2293" width="6.5" customWidth="1"/>
    <col min="2294" max="2294" width="6.25" customWidth="1"/>
    <col min="2295" max="2296" width="17.625" customWidth="1"/>
    <col min="2297" max="2297" width="17.375" customWidth="1"/>
    <col min="2298" max="2299" width="16.125" customWidth="1"/>
    <col min="2300" max="2300" width="13.5" customWidth="1"/>
    <col min="2301" max="2301" width="15.125" customWidth="1"/>
    <col min="2302" max="2302" width="7.75" customWidth="1"/>
    <col min="2303" max="2303" width="16.125" customWidth="1"/>
    <col min="2304" max="2304" width="16" customWidth="1"/>
    <col min="2305" max="2305" width="14.25" customWidth="1"/>
    <col min="2306" max="2306" width="15.5" customWidth="1"/>
    <col min="2307" max="2307" width="16" customWidth="1"/>
    <col min="2308" max="2309" width="15.25" customWidth="1"/>
    <col min="2310" max="2318" width="0" hidden="1" customWidth="1"/>
    <col min="2545" max="2545" width="6" customWidth="1"/>
    <col min="2546" max="2546" width="10" customWidth="1"/>
    <col min="2547" max="2547" width="17.375" customWidth="1"/>
    <col min="2548" max="2548" width="6.375" customWidth="1"/>
    <col min="2549" max="2549" width="6.5" customWidth="1"/>
    <col min="2550" max="2550" width="6.25" customWidth="1"/>
    <col min="2551" max="2552" width="17.625" customWidth="1"/>
    <col min="2553" max="2553" width="17.375" customWidth="1"/>
    <col min="2554" max="2555" width="16.125" customWidth="1"/>
    <col min="2556" max="2556" width="13.5" customWidth="1"/>
    <col min="2557" max="2557" width="15.125" customWidth="1"/>
    <col min="2558" max="2558" width="7.75" customWidth="1"/>
    <col min="2559" max="2559" width="16.125" customWidth="1"/>
    <col min="2560" max="2560" width="16" customWidth="1"/>
    <col min="2561" max="2561" width="14.25" customWidth="1"/>
    <col min="2562" max="2562" width="15.5" customWidth="1"/>
    <col min="2563" max="2563" width="16" customWidth="1"/>
    <col min="2564" max="2565" width="15.25" customWidth="1"/>
    <col min="2566" max="2574" width="0" hidden="1" customWidth="1"/>
    <col min="2801" max="2801" width="6" customWidth="1"/>
    <col min="2802" max="2802" width="10" customWidth="1"/>
    <col min="2803" max="2803" width="17.375" customWidth="1"/>
    <col min="2804" max="2804" width="6.375" customWidth="1"/>
    <col min="2805" max="2805" width="6.5" customWidth="1"/>
    <col min="2806" max="2806" width="6.25" customWidth="1"/>
    <col min="2807" max="2808" width="17.625" customWidth="1"/>
    <col min="2809" max="2809" width="17.375" customWidth="1"/>
    <col min="2810" max="2811" width="16.125" customWidth="1"/>
    <col min="2812" max="2812" width="13.5" customWidth="1"/>
    <col min="2813" max="2813" width="15.125" customWidth="1"/>
    <col min="2814" max="2814" width="7.75" customWidth="1"/>
    <col min="2815" max="2815" width="16.125" customWidth="1"/>
    <col min="2816" max="2816" width="16" customWidth="1"/>
    <col min="2817" max="2817" width="14.25" customWidth="1"/>
    <col min="2818" max="2818" width="15.5" customWidth="1"/>
    <col min="2819" max="2819" width="16" customWidth="1"/>
    <col min="2820" max="2821" width="15.25" customWidth="1"/>
    <col min="2822" max="2830" width="0" hidden="1" customWidth="1"/>
    <col min="3057" max="3057" width="6" customWidth="1"/>
    <col min="3058" max="3058" width="10" customWidth="1"/>
    <col min="3059" max="3059" width="17.375" customWidth="1"/>
    <col min="3060" max="3060" width="6.375" customWidth="1"/>
    <col min="3061" max="3061" width="6.5" customWidth="1"/>
    <col min="3062" max="3062" width="6.25" customWidth="1"/>
    <col min="3063" max="3064" width="17.625" customWidth="1"/>
    <col min="3065" max="3065" width="17.375" customWidth="1"/>
    <col min="3066" max="3067" width="16.125" customWidth="1"/>
    <col min="3068" max="3068" width="13.5" customWidth="1"/>
    <col min="3069" max="3069" width="15.125" customWidth="1"/>
    <col min="3070" max="3070" width="7.75" customWidth="1"/>
    <col min="3071" max="3071" width="16.125" customWidth="1"/>
    <col min="3072" max="3072" width="16" customWidth="1"/>
    <col min="3073" max="3073" width="14.25" customWidth="1"/>
    <col min="3074" max="3074" width="15.5" customWidth="1"/>
    <col min="3075" max="3075" width="16" customWidth="1"/>
    <col min="3076" max="3077" width="15.25" customWidth="1"/>
    <col min="3078" max="3086" width="0" hidden="1" customWidth="1"/>
    <col min="3313" max="3313" width="6" customWidth="1"/>
    <col min="3314" max="3314" width="10" customWidth="1"/>
    <col min="3315" max="3315" width="17.375" customWidth="1"/>
    <col min="3316" max="3316" width="6.375" customWidth="1"/>
    <col min="3317" max="3317" width="6.5" customWidth="1"/>
    <col min="3318" max="3318" width="6.25" customWidth="1"/>
    <col min="3319" max="3320" width="17.625" customWidth="1"/>
    <col min="3321" max="3321" width="17.375" customWidth="1"/>
    <col min="3322" max="3323" width="16.125" customWidth="1"/>
    <col min="3324" max="3324" width="13.5" customWidth="1"/>
    <col min="3325" max="3325" width="15.125" customWidth="1"/>
    <col min="3326" max="3326" width="7.75" customWidth="1"/>
    <col min="3327" max="3327" width="16.125" customWidth="1"/>
    <col min="3328" max="3328" width="16" customWidth="1"/>
    <col min="3329" max="3329" width="14.25" customWidth="1"/>
    <col min="3330" max="3330" width="15.5" customWidth="1"/>
    <col min="3331" max="3331" width="16" customWidth="1"/>
    <col min="3332" max="3333" width="15.25" customWidth="1"/>
    <col min="3334" max="3342" width="0" hidden="1" customWidth="1"/>
    <col min="3569" max="3569" width="6" customWidth="1"/>
    <col min="3570" max="3570" width="10" customWidth="1"/>
    <col min="3571" max="3571" width="17.375" customWidth="1"/>
    <col min="3572" max="3572" width="6.375" customWidth="1"/>
    <col min="3573" max="3573" width="6.5" customWidth="1"/>
    <col min="3574" max="3574" width="6.25" customWidth="1"/>
    <col min="3575" max="3576" width="17.625" customWidth="1"/>
    <col min="3577" max="3577" width="17.375" customWidth="1"/>
    <col min="3578" max="3579" width="16.125" customWidth="1"/>
    <col min="3580" max="3580" width="13.5" customWidth="1"/>
    <col min="3581" max="3581" width="15.125" customWidth="1"/>
    <col min="3582" max="3582" width="7.75" customWidth="1"/>
    <col min="3583" max="3583" width="16.125" customWidth="1"/>
    <col min="3584" max="3584" width="16" customWidth="1"/>
    <col min="3585" max="3585" width="14.25" customWidth="1"/>
    <col min="3586" max="3586" width="15.5" customWidth="1"/>
    <col min="3587" max="3587" width="16" customWidth="1"/>
    <col min="3588" max="3589" width="15.25" customWidth="1"/>
    <col min="3590" max="3598" width="0" hidden="1" customWidth="1"/>
    <col min="3825" max="3825" width="6" customWidth="1"/>
    <col min="3826" max="3826" width="10" customWidth="1"/>
    <col min="3827" max="3827" width="17.375" customWidth="1"/>
    <col min="3828" max="3828" width="6.375" customWidth="1"/>
    <col min="3829" max="3829" width="6.5" customWidth="1"/>
    <col min="3830" max="3830" width="6.25" customWidth="1"/>
    <col min="3831" max="3832" width="17.625" customWidth="1"/>
    <col min="3833" max="3833" width="17.375" customWidth="1"/>
    <col min="3834" max="3835" width="16.125" customWidth="1"/>
    <col min="3836" max="3836" width="13.5" customWidth="1"/>
    <col min="3837" max="3837" width="15.125" customWidth="1"/>
    <col min="3838" max="3838" width="7.75" customWidth="1"/>
    <col min="3839" max="3839" width="16.125" customWidth="1"/>
    <col min="3840" max="3840" width="16" customWidth="1"/>
    <col min="3841" max="3841" width="14.25" customWidth="1"/>
    <col min="3842" max="3842" width="15.5" customWidth="1"/>
    <col min="3843" max="3843" width="16" customWidth="1"/>
    <col min="3844" max="3845" width="15.25" customWidth="1"/>
    <col min="3846" max="3854" width="0" hidden="1" customWidth="1"/>
    <col min="4081" max="4081" width="6" customWidth="1"/>
    <col min="4082" max="4082" width="10" customWidth="1"/>
    <col min="4083" max="4083" width="17.375" customWidth="1"/>
    <col min="4084" max="4084" width="6.375" customWidth="1"/>
    <col min="4085" max="4085" width="6.5" customWidth="1"/>
    <col min="4086" max="4086" width="6.25" customWidth="1"/>
    <col min="4087" max="4088" width="17.625" customWidth="1"/>
    <col min="4089" max="4089" width="17.375" customWidth="1"/>
    <col min="4090" max="4091" width="16.125" customWidth="1"/>
    <col min="4092" max="4092" width="13.5" customWidth="1"/>
    <col min="4093" max="4093" width="15.125" customWidth="1"/>
    <col min="4094" max="4094" width="7.75" customWidth="1"/>
    <col min="4095" max="4095" width="16.125" customWidth="1"/>
    <col min="4096" max="4096" width="16" customWidth="1"/>
    <col min="4097" max="4097" width="14.25" customWidth="1"/>
    <col min="4098" max="4098" width="15.5" customWidth="1"/>
    <col min="4099" max="4099" width="16" customWidth="1"/>
    <col min="4100" max="4101" width="15.25" customWidth="1"/>
    <col min="4102" max="4110" width="0" hidden="1" customWidth="1"/>
    <col min="4337" max="4337" width="6" customWidth="1"/>
    <col min="4338" max="4338" width="10" customWidth="1"/>
    <col min="4339" max="4339" width="17.375" customWidth="1"/>
    <col min="4340" max="4340" width="6.375" customWidth="1"/>
    <col min="4341" max="4341" width="6.5" customWidth="1"/>
    <col min="4342" max="4342" width="6.25" customWidth="1"/>
    <col min="4343" max="4344" width="17.625" customWidth="1"/>
    <col min="4345" max="4345" width="17.375" customWidth="1"/>
    <col min="4346" max="4347" width="16.125" customWidth="1"/>
    <col min="4348" max="4348" width="13.5" customWidth="1"/>
    <col min="4349" max="4349" width="15.125" customWidth="1"/>
    <col min="4350" max="4350" width="7.75" customWidth="1"/>
    <col min="4351" max="4351" width="16.125" customWidth="1"/>
    <col min="4352" max="4352" width="16" customWidth="1"/>
    <col min="4353" max="4353" width="14.25" customWidth="1"/>
    <col min="4354" max="4354" width="15.5" customWidth="1"/>
    <col min="4355" max="4355" width="16" customWidth="1"/>
    <col min="4356" max="4357" width="15.25" customWidth="1"/>
    <col min="4358" max="4366" width="0" hidden="1" customWidth="1"/>
    <col min="4593" max="4593" width="6" customWidth="1"/>
    <col min="4594" max="4594" width="10" customWidth="1"/>
    <col min="4595" max="4595" width="17.375" customWidth="1"/>
    <col min="4596" max="4596" width="6.375" customWidth="1"/>
    <col min="4597" max="4597" width="6.5" customWidth="1"/>
    <col min="4598" max="4598" width="6.25" customWidth="1"/>
    <col min="4599" max="4600" width="17.625" customWidth="1"/>
    <col min="4601" max="4601" width="17.375" customWidth="1"/>
    <col min="4602" max="4603" width="16.125" customWidth="1"/>
    <col min="4604" max="4604" width="13.5" customWidth="1"/>
    <col min="4605" max="4605" width="15.125" customWidth="1"/>
    <col min="4606" max="4606" width="7.75" customWidth="1"/>
    <col min="4607" max="4607" width="16.125" customWidth="1"/>
    <col min="4608" max="4608" width="16" customWidth="1"/>
    <col min="4609" max="4609" width="14.25" customWidth="1"/>
    <col min="4610" max="4610" width="15.5" customWidth="1"/>
    <col min="4611" max="4611" width="16" customWidth="1"/>
    <col min="4612" max="4613" width="15.25" customWidth="1"/>
    <col min="4614" max="4622" width="0" hidden="1" customWidth="1"/>
    <col min="4849" max="4849" width="6" customWidth="1"/>
    <col min="4850" max="4850" width="10" customWidth="1"/>
    <col min="4851" max="4851" width="17.375" customWidth="1"/>
    <col min="4852" max="4852" width="6.375" customWidth="1"/>
    <col min="4853" max="4853" width="6.5" customWidth="1"/>
    <col min="4854" max="4854" width="6.25" customWidth="1"/>
    <col min="4855" max="4856" width="17.625" customWidth="1"/>
    <col min="4857" max="4857" width="17.375" customWidth="1"/>
    <col min="4858" max="4859" width="16.125" customWidth="1"/>
    <col min="4860" max="4860" width="13.5" customWidth="1"/>
    <col min="4861" max="4861" width="15.125" customWidth="1"/>
    <col min="4862" max="4862" width="7.75" customWidth="1"/>
    <col min="4863" max="4863" width="16.125" customWidth="1"/>
    <col min="4864" max="4864" width="16" customWidth="1"/>
    <col min="4865" max="4865" width="14.25" customWidth="1"/>
    <col min="4866" max="4866" width="15.5" customWidth="1"/>
    <col min="4867" max="4867" width="16" customWidth="1"/>
    <col min="4868" max="4869" width="15.25" customWidth="1"/>
    <col min="4870" max="4878" width="0" hidden="1" customWidth="1"/>
    <col min="5105" max="5105" width="6" customWidth="1"/>
    <col min="5106" max="5106" width="10" customWidth="1"/>
    <col min="5107" max="5107" width="17.375" customWidth="1"/>
    <col min="5108" max="5108" width="6.375" customWidth="1"/>
    <col min="5109" max="5109" width="6.5" customWidth="1"/>
    <col min="5110" max="5110" width="6.25" customWidth="1"/>
    <col min="5111" max="5112" width="17.625" customWidth="1"/>
    <col min="5113" max="5113" width="17.375" customWidth="1"/>
    <col min="5114" max="5115" width="16.125" customWidth="1"/>
    <col min="5116" max="5116" width="13.5" customWidth="1"/>
    <col min="5117" max="5117" width="15.125" customWidth="1"/>
    <col min="5118" max="5118" width="7.75" customWidth="1"/>
    <col min="5119" max="5119" width="16.125" customWidth="1"/>
    <col min="5120" max="5120" width="16" customWidth="1"/>
    <col min="5121" max="5121" width="14.25" customWidth="1"/>
    <col min="5122" max="5122" width="15.5" customWidth="1"/>
    <col min="5123" max="5123" width="16" customWidth="1"/>
    <col min="5124" max="5125" width="15.25" customWidth="1"/>
    <col min="5126" max="5134" width="0" hidden="1" customWidth="1"/>
    <col min="5361" max="5361" width="6" customWidth="1"/>
    <col min="5362" max="5362" width="10" customWidth="1"/>
    <col min="5363" max="5363" width="17.375" customWidth="1"/>
    <col min="5364" max="5364" width="6.375" customWidth="1"/>
    <col min="5365" max="5365" width="6.5" customWidth="1"/>
    <col min="5366" max="5366" width="6.25" customWidth="1"/>
    <col min="5367" max="5368" width="17.625" customWidth="1"/>
    <col min="5369" max="5369" width="17.375" customWidth="1"/>
    <col min="5370" max="5371" width="16.125" customWidth="1"/>
    <col min="5372" max="5372" width="13.5" customWidth="1"/>
    <col min="5373" max="5373" width="15.125" customWidth="1"/>
    <col min="5374" max="5374" width="7.75" customWidth="1"/>
    <col min="5375" max="5375" width="16.125" customWidth="1"/>
    <col min="5376" max="5376" width="16" customWidth="1"/>
    <col min="5377" max="5377" width="14.25" customWidth="1"/>
    <col min="5378" max="5378" width="15.5" customWidth="1"/>
    <col min="5379" max="5379" width="16" customWidth="1"/>
    <col min="5380" max="5381" width="15.25" customWidth="1"/>
    <col min="5382" max="5390" width="0" hidden="1" customWidth="1"/>
    <col min="5617" max="5617" width="6" customWidth="1"/>
    <col min="5618" max="5618" width="10" customWidth="1"/>
    <col min="5619" max="5619" width="17.375" customWidth="1"/>
    <col min="5620" max="5620" width="6.375" customWidth="1"/>
    <col min="5621" max="5621" width="6.5" customWidth="1"/>
    <col min="5622" max="5622" width="6.25" customWidth="1"/>
    <col min="5623" max="5624" width="17.625" customWidth="1"/>
    <col min="5625" max="5625" width="17.375" customWidth="1"/>
    <col min="5626" max="5627" width="16.125" customWidth="1"/>
    <col min="5628" max="5628" width="13.5" customWidth="1"/>
    <col min="5629" max="5629" width="15.125" customWidth="1"/>
    <col min="5630" max="5630" width="7.75" customWidth="1"/>
    <col min="5631" max="5631" width="16.125" customWidth="1"/>
    <col min="5632" max="5632" width="16" customWidth="1"/>
    <col min="5633" max="5633" width="14.25" customWidth="1"/>
    <col min="5634" max="5634" width="15.5" customWidth="1"/>
    <col min="5635" max="5635" width="16" customWidth="1"/>
    <col min="5636" max="5637" width="15.25" customWidth="1"/>
    <col min="5638" max="5646" width="0" hidden="1" customWidth="1"/>
    <col min="5873" max="5873" width="6" customWidth="1"/>
    <col min="5874" max="5874" width="10" customWidth="1"/>
    <col min="5875" max="5875" width="17.375" customWidth="1"/>
    <col min="5876" max="5876" width="6.375" customWidth="1"/>
    <col min="5877" max="5877" width="6.5" customWidth="1"/>
    <col min="5878" max="5878" width="6.25" customWidth="1"/>
    <col min="5879" max="5880" width="17.625" customWidth="1"/>
    <col min="5881" max="5881" width="17.375" customWidth="1"/>
    <col min="5882" max="5883" width="16.125" customWidth="1"/>
    <col min="5884" max="5884" width="13.5" customWidth="1"/>
    <col min="5885" max="5885" width="15.125" customWidth="1"/>
    <col min="5886" max="5886" width="7.75" customWidth="1"/>
    <col min="5887" max="5887" width="16.125" customWidth="1"/>
    <col min="5888" max="5888" width="16" customWidth="1"/>
    <col min="5889" max="5889" width="14.25" customWidth="1"/>
    <col min="5890" max="5890" width="15.5" customWidth="1"/>
    <col min="5891" max="5891" width="16" customWidth="1"/>
    <col min="5892" max="5893" width="15.25" customWidth="1"/>
    <col min="5894" max="5902" width="0" hidden="1" customWidth="1"/>
    <col min="6129" max="6129" width="6" customWidth="1"/>
    <col min="6130" max="6130" width="10" customWidth="1"/>
    <col min="6131" max="6131" width="17.375" customWidth="1"/>
    <col min="6132" max="6132" width="6.375" customWidth="1"/>
    <col min="6133" max="6133" width="6.5" customWidth="1"/>
    <col min="6134" max="6134" width="6.25" customWidth="1"/>
    <col min="6135" max="6136" width="17.625" customWidth="1"/>
    <col min="6137" max="6137" width="17.375" customWidth="1"/>
    <col min="6138" max="6139" width="16.125" customWidth="1"/>
    <col min="6140" max="6140" width="13.5" customWidth="1"/>
    <col min="6141" max="6141" width="15.125" customWidth="1"/>
    <col min="6142" max="6142" width="7.75" customWidth="1"/>
    <col min="6143" max="6143" width="16.125" customWidth="1"/>
    <col min="6144" max="6144" width="16" customWidth="1"/>
    <col min="6145" max="6145" width="14.25" customWidth="1"/>
    <col min="6146" max="6146" width="15.5" customWidth="1"/>
    <col min="6147" max="6147" width="16" customWidth="1"/>
    <col min="6148" max="6149" width="15.25" customWidth="1"/>
    <col min="6150" max="6158" width="0" hidden="1" customWidth="1"/>
    <col min="6385" max="6385" width="6" customWidth="1"/>
    <col min="6386" max="6386" width="10" customWidth="1"/>
    <col min="6387" max="6387" width="17.375" customWidth="1"/>
    <col min="6388" max="6388" width="6.375" customWidth="1"/>
    <col min="6389" max="6389" width="6.5" customWidth="1"/>
    <col min="6390" max="6390" width="6.25" customWidth="1"/>
    <col min="6391" max="6392" width="17.625" customWidth="1"/>
    <col min="6393" max="6393" width="17.375" customWidth="1"/>
    <col min="6394" max="6395" width="16.125" customWidth="1"/>
    <col min="6396" max="6396" width="13.5" customWidth="1"/>
    <col min="6397" max="6397" width="15.125" customWidth="1"/>
    <col min="6398" max="6398" width="7.75" customWidth="1"/>
    <col min="6399" max="6399" width="16.125" customWidth="1"/>
    <col min="6400" max="6400" width="16" customWidth="1"/>
    <col min="6401" max="6401" width="14.25" customWidth="1"/>
    <col min="6402" max="6402" width="15.5" customWidth="1"/>
    <col min="6403" max="6403" width="16" customWidth="1"/>
    <col min="6404" max="6405" width="15.25" customWidth="1"/>
    <col min="6406" max="6414" width="0" hidden="1" customWidth="1"/>
    <col min="6641" max="6641" width="6" customWidth="1"/>
    <col min="6642" max="6642" width="10" customWidth="1"/>
    <col min="6643" max="6643" width="17.375" customWidth="1"/>
    <col min="6644" max="6644" width="6.375" customWidth="1"/>
    <col min="6645" max="6645" width="6.5" customWidth="1"/>
    <col min="6646" max="6646" width="6.25" customWidth="1"/>
    <col min="6647" max="6648" width="17.625" customWidth="1"/>
    <col min="6649" max="6649" width="17.375" customWidth="1"/>
    <col min="6650" max="6651" width="16.125" customWidth="1"/>
    <col min="6652" max="6652" width="13.5" customWidth="1"/>
    <col min="6653" max="6653" width="15.125" customWidth="1"/>
    <col min="6654" max="6654" width="7.75" customWidth="1"/>
    <col min="6655" max="6655" width="16.125" customWidth="1"/>
    <col min="6656" max="6656" width="16" customWidth="1"/>
    <col min="6657" max="6657" width="14.25" customWidth="1"/>
    <col min="6658" max="6658" width="15.5" customWidth="1"/>
    <col min="6659" max="6659" width="16" customWidth="1"/>
    <col min="6660" max="6661" width="15.25" customWidth="1"/>
    <col min="6662" max="6670" width="0" hidden="1" customWidth="1"/>
    <col min="6897" max="6897" width="6" customWidth="1"/>
    <col min="6898" max="6898" width="10" customWidth="1"/>
    <col min="6899" max="6899" width="17.375" customWidth="1"/>
    <col min="6900" max="6900" width="6.375" customWidth="1"/>
    <col min="6901" max="6901" width="6.5" customWidth="1"/>
    <col min="6902" max="6902" width="6.25" customWidth="1"/>
    <col min="6903" max="6904" width="17.625" customWidth="1"/>
    <col min="6905" max="6905" width="17.375" customWidth="1"/>
    <col min="6906" max="6907" width="16.125" customWidth="1"/>
    <col min="6908" max="6908" width="13.5" customWidth="1"/>
    <col min="6909" max="6909" width="15.125" customWidth="1"/>
    <col min="6910" max="6910" width="7.75" customWidth="1"/>
    <col min="6911" max="6911" width="16.125" customWidth="1"/>
    <col min="6912" max="6912" width="16" customWidth="1"/>
    <col min="6913" max="6913" width="14.25" customWidth="1"/>
    <col min="6914" max="6914" width="15.5" customWidth="1"/>
    <col min="6915" max="6915" width="16" customWidth="1"/>
    <col min="6916" max="6917" width="15.25" customWidth="1"/>
    <col min="6918" max="6926" width="0" hidden="1" customWidth="1"/>
    <col min="7153" max="7153" width="6" customWidth="1"/>
    <col min="7154" max="7154" width="10" customWidth="1"/>
    <col min="7155" max="7155" width="17.375" customWidth="1"/>
    <col min="7156" max="7156" width="6.375" customWidth="1"/>
    <col min="7157" max="7157" width="6.5" customWidth="1"/>
    <col min="7158" max="7158" width="6.25" customWidth="1"/>
    <col min="7159" max="7160" width="17.625" customWidth="1"/>
    <col min="7161" max="7161" width="17.375" customWidth="1"/>
    <col min="7162" max="7163" width="16.125" customWidth="1"/>
    <col min="7164" max="7164" width="13.5" customWidth="1"/>
    <col min="7165" max="7165" width="15.125" customWidth="1"/>
    <col min="7166" max="7166" width="7.75" customWidth="1"/>
    <col min="7167" max="7167" width="16.125" customWidth="1"/>
    <col min="7168" max="7168" width="16" customWidth="1"/>
    <col min="7169" max="7169" width="14.25" customWidth="1"/>
    <col min="7170" max="7170" width="15.5" customWidth="1"/>
    <col min="7171" max="7171" width="16" customWidth="1"/>
    <col min="7172" max="7173" width="15.25" customWidth="1"/>
    <col min="7174" max="7182" width="0" hidden="1" customWidth="1"/>
    <col min="7409" max="7409" width="6" customWidth="1"/>
    <col min="7410" max="7410" width="10" customWidth="1"/>
    <col min="7411" max="7411" width="17.375" customWidth="1"/>
    <col min="7412" max="7412" width="6.375" customWidth="1"/>
    <col min="7413" max="7413" width="6.5" customWidth="1"/>
    <col min="7414" max="7414" width="6.25" customWidth="1"/>
    <col min="7415" max="7416" width="17.625" customWidth="1"/>
    <col min="7417" max="7417" width="17.375" customWidth="1"/>
    <col min="7418" max="7419" width="16.125" customWidth="1"/>
    <col min="7420" max="7420" width="13.5" customWidth="1"/>
    <col min="7421" max="7421" width="15.125" customWidth="1"/>
    <col min="7422" max="7422" width="7.75" customWidth="1"/>
    <col min="7423" max="7423" width="16.125" customWidth="1"/>
    <col min="7424" max="7424" width="16" customWidth="1"/>
    <col min="7425" max="7425" width="14.25" customWidth="1"/>
    <col min="7426" max="7426" width="15.5" customWidth="1"/>
    <col min="7427" max="7427" width="16" customWidth="1"/>
    <col min="7428" max="7429" width="15.25" customWidth="1"/>
    <col min="7430" max="7438" width="0" hidden="1" customWidth="1"/>
    <col min="7665" max="7665" width="6" customWidth="1"/>
    <col min="7666" max="7666" width="10" customWidth="1"/>
    <col min="7667" max="7667" width="17.375" customWidth="1"/>
    <col min="7668" max="7668" width="6.375" customWidth="1"/>
    <col min="7669" max="7669" width="6.5" customWidth="1"/>
    <col min="7670" max="7670" width="6.25" customWidth="1"/>
    <col min="7671" max="7672" width="17.625" customWidth="1"/>
    <col min="7673" max="7673" width="17.375" customWidth="1"/>
    <col min="7674" max="7675" width="16.125" customWidth="1"/>
    <col min="7676" max="7676" width="13.5" customWidth="1"/>
    <col min="7677" max="7677" width="15.125" customWidth="1"/>
    <col min="7678" max="7678" width="7.75" customWidth="1"/>
    <col min="7679" max="7679" width="16.125" customWidth="1"/>
    <col min="7680" max="7680" width="16" customWidth="1"/>
    <col min="7681" max="7681" width="14.25" customWidth="1"/>
    <col min="7682" max="7682" width="15.5" customWidth="1"/>
    <col min="7683" max="7683" width="16" customWidth="1"/>
    <col min="7684" max="7685" width="15.25" customWidth="1"/>
    <col min="7686" max="7694" width="0" hidden="1" customWidth="1"/>
    <col min="7921" max="7921" width="6" customWidth="1"/>
    <col min="7922" max="7922" width="10" customWidth="1"/>
    <col min="7923" max="7923" width="17.375" customWidth="1"/>
    <col min="7924" max="7924" width="6.375" customWidth="1"/>
    <col min="7925" max="7925" width="6.5" customWidth="1"/>
    <col min="7926" max="7926" width="6.25" customWidth="1"/>
    <col min="7927" max="7928" width="17.625" customWidth="1"/>
    <col min="7929" max="7929" width="17.375" customWidth="1"/>
    <col min="7930" max="7931" width="16.125" customWidth="1"/>
    <col min="7932" max="7932" width="13.5" customWidth="1"/>
    <col min="7933" max="7933" width="15.125" customWidth="1"/>
    <col min="7934" max="7934" width="7.75" customWidth="1"/>
    <col min="7935" max="7935" width="16.125" customWidth="1"/>
    <col min="7936" max="7936" width="16" customWidth="1"/>
    <col min="7937" max="7937" width="14.25" customWidth="1"/>
    <col min="7938" max="7938" width="15.5" customWidth="1"/>
    <col min="7939" max="7939" width="16" customWidth="1"/>
    <col min="7940" max="7941" width="15.25" customWidth="1"/>
    <col min="7942" max="7950" width="0" hidden="1" customWidth="1"/>
    <col min="8177" max="8177" width="6" customWidth="1"/>
    <col min="8178" max="8178" width="10" customWidth="1"/>
    <col min="8179" max="8179" width="17.375" customWidth="1"/>
    <col min="8180" max="8180" width="6.375" customWidth="1"/>
    <col min="8181" max="8181" width="6.5" customWidth="1"/>
    <col min="8182" max="8182" width="6.25" customWidth="1"/>
    <col min="8183" max="8184" width="17.625" customWidth="1"/>
    <col min="8185" max="8185" width="17.375" customWidth="1"/>
    <col min="8186" max="8187" width="16.125" customWidth="1"/>
    <col min="8188" max="8188" width="13.5" customWidth="1"/>
    <col min="8189" max="8189" width="15.125" customWidth="1"/>
    <col min="8190" max="8190" width="7.75" customWidth="1"/>
    <col min="8191" max="8191" width="16.125" customWidth="1"/>
    <col min="8192" max="8192" width="16" customWidth="1"/>
    <col min="8193" max="8193" width="14.25" customWidth="1"/>
    <col min="8194" max="8194" width="15.5" customWidth="1"/>
    <col min="8195" max="8195" width="16" customWidth="1"/>
    <col min="8196" max="8197" width="15.25" customWidth="1"/>
    <col min="8198" max="8206" width="0" hidden="1" customWidth="1"/>
    <col min="8433" max="8433" width="6" customWidth="1"/>
    <col min="8434" max="8434" width="10" customWidth="1"/>
    <col min="8435" max="8435" width="17.375" customWidth="1"/>
    <col min="8436" max="8436" width="6.375" customWidth="1"/>
    <col min="8437" max="8437" width="6.5" customWidth="1"/>
    <col min="8438" max="8438" width="6.25" customWidth="1"/>
    <col min="8439" max="8440" width="17.625" customWidth="1"/>
    <col min="8441" max="8441" width="17.375" customWidth="1"/>
    <col min="8442" max="8443" width="16.125" customWidth="1"/>
    <col min="8444" max="8444" width="13.5" customWidth="1"/>
    <col min="8445" max="8445" width="15.125" customWidth="1"/>
    <col min="8446" max="8446" width="7.75" customWidth="1"/>
    <col min="8447" max="8447" width="16.125" customWidth="1"/>
    <col min="8448" max="8448" width="16" customWidth="1"/>
    <col min="8449" max="8449" width="14.25" customWidth="1"/>
    <col min="8450" max="8450" width="15.5" customWidth="1"/>
    <col min="8451" max="8451" width="16" customWidth="1"/>
    <col min="8452" max="8453" width="15.25" customWidth="1"/>
    <col min="8454" max="8462" width="0" hidden="1" customWidth="1"/>
    <col min="8689" max="8689" width="6" customWidth="1"/>
    <col min="8690" max="8690" width="10" customWidth="1"/>
    <col min="8691" max="8691" width="17.375" customWidth="1"/>
    <col min="8692" max="8692" width="6.375" customWidth="1"/>
    <col min="8693" max="8693" width="6.5" customWidth="1"/>
    <col min="8694" max="8694" width="6.25" customWidth="1"/>
    <col min="8695" max="8696" width="17.625" customWidth="1"/>
    <col min="8697" max="8697" width="17.375" customWidth="1"/>
    <col min="8698" max="8699" width="16.125" customWidth="1"/>
    <col min="8700" max="8700" width="13.5" customWidth="1"/>
    <col min="8701" max="8701" width="15.125" customWidth="1"/>
    <col min="8702" max="8702" width="7.75" customWidth="1"/>
    <col min="8703" max="8703" width="16.125" customWidth="1"/>
    <col min="8704" max="8704" width="16" customWidth="1"/>
    <col min="8705" max="8705" width="14.25" customWidth="1"/>
    <col min="8706" max="8706" width="15.5" customWidth="1"/>
    <col min="8707" max="8707" width="16" customWidth="1"/>
    <col min="8708" max="8709" width="15.25" customWidth="1"/>
    <col min="8710" max="8718" width="0" hidden="1" customWidth="1"/>
    <col min="8945" max="8945" width="6" customWidth="1"/>
    <col min="8946" max="8946" width="10" customWidth="1"/>
    <col min="8947" max="8947" width="17.375" customWidth="1"/>
    <col min="8948" max="8948" width="6.375" customWidth="1"/>
    <col min="8949" max="8949" width="6.5" customWidth="1"/>
    <col min="8950" max="8950" width="6.25" customWidth="1"/>
    <col min="8951" max="8952" width="17.625" customWidth="1"/>
    <col min="8953" max="8953" width="17.375" customWidth="1"/>
    <col min="8954" max="8955" width="16.125" customWidth="1"/>
    <col min="8956" max="8956" width="13.5" customWidth="1"/>
    <col min="8957" max="8957" width="15.125" customWidth="1"/>
    <col min="8958" max="8958" width="7.75" customWidth="1"/>
    <col min="8959" max="8959" width="16.125" customWidth="1"/>
    <col min="8960" max="8960" width="16" customWidth="1"/>
    <col min="8961" max="8961" width="14.25" customWidth="1"/>
    <col min="8962" max="8962" width="15.5" customWidth="1"/>
    <col min="8963" max="8963" width="16" customWidth="1"/>
    <col min="8964" max="8965" width="15.25" customWidth="1"/>
    <col min="8966" max="8974" width="0" hidden="1" customWidth="1"/>
    <col min="9201" max="9201" width="6" customWidth="1"/>
    <col min="9202" max="9202" width="10" customWidth="1"/>
    <col min="9203" max="9203" width="17.375" customWidth="1"/>
    <col min="9204" max="9204" width="6.375" customWidth="1"/>
    <col min="9205" max="9205" width="6.5" customWidth="1"/>
    <col min="9206" max="9206" width="6.25" customWidth="1"/>
    <col min="9207" max="9208" width="17.625" customWidth="1"/>
    <col min="9209" max="9209" width="17.375" customWidth="1"/>
    <col min="9210" max="9211" width="16.125" customWidth="1"/>
    <col min="9212" max="9212" width="13.5" customWidth="1"/>
    <col min="9213" max="9213" width="15.125" customWidth="1"/>
    <col min="9214" max="9214" width="7.75" customWidth="1"/>
    <col min="9215" max="9215" width="16.125" customWidth="1"/>
    <col min="9216" max="9216" width="16" customWidth="1"/>
    <col min="9217" max="9217" width="14.25" customWidth="1"/>
    <col min="9218" max="9218" width="15.5" customWidth="1"/>
    <col min="9219" max="9219" width="16" customWidth="1"/>
    <col min="9220" max="9221" width="15.25" customWidth="1"/>
    <col min="9222" max="9230" width="0" hidden="1" customWidth="1"/>
    <col min="9457" max="9457" width="6" customWidth="1"/>
    <col min="9458" max="9458" width="10" customWidth="1"/>
    <col min="9459" max="9459" width="17.375" customWidth="1"/>
    <col min="9460" max="9460" width="6.375" customWidth="1"/>
    <col min="9461" max="9461" width="6.5" customWidth="1"/>
    <col min="9462" max="9462" width="6.25" customWidth="1"/>
    <col min="9463" max="9464" width="17.625" customWidth="1"/>
    <col min="9465" max="9465" width="17.375" customWidth="1"/>
    <col min="9466" max="9467" width="16.125" customWidth="1"/>
    <col min="9468" max="9468" width="13.5" customWidth="1"/>
    <col min="9469" max="9469" width="15.125" customWidth="1"/>
    <col min="9470" max="9470" width="7.75" customWidth="1"/>
    <col min="9471" max="9471" width="16.125" customWidth="1"/>
    <col min="9472" max="9472" width="16" customWidth="1"/>
    <col min="9473" max="9473" width="14.25" customWidth="1"/>
    <col min="9474" max="9474" width="15.5" customWidth="1"/>
    <col min="9475" max="9475" width="16" customWidth="1"/>
    <col min="9476" max="9477" width="15.25" customWidth="1"/>
    <col min="9478" max="9486" width="0" hidden="1" customWidth="1"/>
    <col min="9713" max="9713" width="6" customWidth="1"/>
    <col min="9714" max="9714" width="10" customWidth="1"/>
    <col min="9715" max="9715" width="17.375" customWidth="1"/>
    <col min="9716" max="9716" width="6.375" customWidth="1"/>
    <col min="9717" max="9717" width="6.5" customWidth="1"/>
    <col min="9718" max="9718" width="6.25" customWidth="1"/>
    <col min="9719" max="9720" width="17.625" customWidth="1"/>
    <col min="9721" max="9721" width="17.375" customWidth="1"/>
    <col min="9722" max="9723" width="16.125" customWidth="1"/>
    <col min="9724" max="9724" width="13.5" customWidth="1"/>
    <col min="9725" max="9725" width="15.125" customWidth="1"/>
    <col min="9726" max="9726" width="7.75" customWidth="1"/>
    <col min="9727" max="9727" width="16.125" customWidth="1"/>
    <col min="9728" max="9728" width="16" customWidth="1"/>
    <col min="9729" max="9729" width="14.25" customWidth="1"/>
    <col min="9730" max="9730" width="15.5" customWidth="1"/>
    <col min="9731" max="9731" width="16" customWidth="1"/>
    <col min="9732" max="9733" width="15.25" customWidth="1"/>
    <col min="9734" max="9742" width="0" hidden="1" customWidth="1"/>
    <col min="9969" max="9969" width="6" customWidth="1"/>
    <col min="9970" max="9970" width="10" customWidth="1"/>
    <col min="9971" max="9971" width="17.375" customWidth="1"/>
    <col min="9972" max="9972" width="6.375" customWidth="1"/>
    <col min="9973" max="9973" width="6.5" customWidth="1"/>
    <col min="9974" max="9974" width="6.25" customWidth="1"/>
    <col min="9975" max="9976" width="17.625" customWidth="1"/>
    <col min="9977" max="9977" width="17.375" customWidth="1"/>
    <col min="9978" max="9979" width="16.125" customWidth="1"/>
    <col min="9980" max="9980" width="13.5" customWidth="1"/>
    <col min="9981" max="9981" width="15.125" customWidth="1"/>
    <col min="9982" max="9982" width="7.75" customWidth="1"/>
    <col min="9983" max="9983" width="16.125" customWidth="1"/>
    <col min="9984" max="9984" width="16" customWidth="1"/>
    <col min="9985" max="9985" width="14.25" customWidth="1"/>
    <col min="9986" max="9986" width="15.5" customWidth="1"/>
    <col min="9987" max="9987" width="16" customWidth="1"/>
    <col min="9988" max="9989" width="15.25" customWidth="1"/>
    <col min="9990" max="9998" width="0" hidden="1" customWidth="1"/>
    <col min="10225" max="10225" width="6" customWidth="1"/>
    <col min="10226" max="10226" width="10" customWidth="1"/>
    <col min="10227" max="10227" width="17.375" customWidth="1"/>
    <col min="10228" max="10228" width="6.375" customWidth="1"/>
    <col min="10229" max="10229" width="6.5" customWidth="1"/>
    <col min="10230" max="10230" width="6.25" customWidth="1"/>
    <col min="10231" max="10232" width="17.625" customWidth="1"/>
    <col min="10233" max="10233" width="17.375" customWidth="1"/>
    <col min="10234" max="10235" width="16.125" customWidth="1"/>
    <col min="10236" max="10236" width="13.5" customWidth="1"/>
    <col min="10237" max="10237" width="15.125" customWidth="1"/>
    <col min="10238" max="10238" width="7.75" customWidth="1"/>
    <col min="10239" max="10239" width="16.125" customWidth="1"/>
    <col min="10240" max="10240" width="16" customWidth="1"/>
    <col min="10241" max="10241" width="14.25" customWidth="1"/>
    <col min="10242" max="10242" width="15.5" customWidth="1"/>
    <col min="10243" max="10243" width="16" customWidth="1"/>
    <col min="10244" max="10245" width="15.25" customWidth="1"/>
    <col min="10246" max="10254" width="0" hidden="1" customWidth="1"/>
    <col min="10481" max="10481" width="6" customWidth="1"/>
    <col min="10482" max="10482" width="10" customWidth="1"/>
    <col min="10483" max="10483" width="17.375" customWidth="1"/>
    <col min="10484" max="10484" width="6.375" customWidth="1"/>
    <col min="10485" max="10485" width="6.5" customWidth="1"/>
    <col min="10486" max="10486" width="6.25" customWidth="1"/>
    <col min="10487" max="10488" width="17.625" customWidth="1"/>
    <col min="10489" max="10489" width="17.375" customWidth="1"/>
    <col min="10490" max="10491" width="16.125" customWidth="1"/>
    <col min="10492" max="10492" width="13.5" customWidth="1"/>
    <col min="10493" max="10493" width="15.125" customWidth="1"/>
    <col min="10494" max="10494" width="7.75" customWidth="1"/>
    <col min="10495" max="10495" width="16.125" customWidth="1"/>
    <col min="10496" max="10496" width="16" customWidth="1"/>
    <col min="10497" max="10497" width="14.25" customWidth="1"/>
    <col min="10498" max="10498" width="15.5" customWidth="1"/>
    <col min="10499" max="10499" width="16" customWidth="1"/>
    <col min="10500" max="10501" width="15.25" customWidth="1"/>
    <col min="10502" max="10510" width="0" hidden="1" customWidth="1"/>
    <col min="10737" max="10737" width="6" customWidth="1"/>
    <col min="10738" max="10738" width="10" customWidth="1"/>
    <col min="10739" max="10739" width="17.375" customWidth="1"/>
    <col min="10740" max="10740" width="6.375" customWidth="1"/>
    <col min="10741" max="10741" width="6.5" customWidth="1"/>
    <col min="10742" max="10742" width="6.25" customWidth="1"/>
    <col min="10743" max="10744" width="17.625" customWidth="1"/>
    <col min="10745" max="10745" width="17.375" customWidth="1"/>
    <col min="10746" max="10747" width="16.125" customWidth="1"/>
    <col min="10748" max="10748" width="13.5" customWidth="1"/>
    <col min="10749" max="10749" width="15.125" customWidth="1"/>
    <col min="10750" max="10750" width="7.75" customWidth="1"/>
    <col min="10751" max="10751" width="16.125" customWidth="1"/>
    <col min="10752" max="10752" width="16" customWidth="1"/>
    <col min="10753" max="10753" width="14.25" customWidth="1"/>
    <col min="10754" max="10754" width="15.5" customWidth="1"/>
    <col min="10755" max="10755" width="16" customWidth="1"/>
    <col min="10756" max="10757" width="15.25" customWidth="1"/>
    <col min="10758" max="10766" width="0" hidden="1" customWidth="1"/>
    <col min="10993" max="10993" width="6" customWidth="1"/>
    <col min="10994" max="10994" width="10" customWidth="1"/>
    <col min="10995" max="10995" width="17.375" customWidth="1"/>
    <col min="10996" max="10996" width="6.375" customWidth="1"/>
    <col min="10997" max="10997" width="6.5" customWidth="1"/>
    <col min="10998" max="10998" width="6.25" customWidth="1"/>
    <col min="10999" max="11000" width="17.625" customWidth="1"/>
    <col min="11001" max="11001" width="17.375" customWidth="1"/>
    <col min="11002" max="11003" width="16.125" customWidth="1"/>
    <col min="11004" max="11004" width="13.5" customWidth="1"/>
    <col min="11005" max="11005" width="15.125" customWidth="1"/>
    <col min="11006" max="11006" width="7.75" customWidth="1"/>
    <col min="11007" max="11007" width="16.125" customWidth="1"/>
    <col min="11008" max="11008" width="16" customWidth="1"/>
    <col min="11009" max="11009" width="14.25" customWidth="1"/>
    <col min="11010" max="11010" width="15.5" customWidth="1"/>
    <col min="11011" max="11011" width="16" customWidth="1"/>
    <col min="11012" max="11013" width="15.25" customWidth="1"/>
    <col min="11014" max="11022" width="0" hidden="1" customWidth="1"/>
    <col min="11249" max="11249" width="6" customWidth="1"/>
    <col min="11250" max="11250" width="10" customWidth="1"/>
    <col min="11251" max="11251" width="17.375" customWidth="1"/>
    <col min="11252" max="11252" width="6.375" customWidth="1"/>
    <col min="11253" max="11253" width="6.5" customWidth="1"/>
    <col min="11254" max="11254" width="6.25" customWidth="1"/>
    <col min="11255" max="11256" width="17.625" customWidth="1"/>
    <col min="11257" max="11257" width="17.375" customWidth="1"/>
    <col min="11258" max="11259" width="16.125" customWidth="1"/>
    <col min="11260" max="11260" width="13.5" customWidth="1"/>
    <col min="11261" max="11261" width="15.125" customWidth="1"/>
    <col min="11262" max="11262" width="7.75" customWidth="1"/>
    <col min="11263" max="11263" width="16.125" customWidth="1"/>
    <col min="11264" max="11264" width="16" customWidth="1"/>
    <col min="11265" max="11265" width="14.25" customWidth="1"/>
    <col min="11266" max="11266" width="15.5" customWidth="1"/>
    <col min="11267" max="11267" width="16" customWidth="1"/>
    <col min="11268" max="11269" width="15.25" customWidth="1"/>
    <col min="11270" max="11278" width="0" hidden="1" customWidth="1"/>
    <col min="11505" max="11505" width="6" customWidth="1"/>
    <col min="11506" max="11506" width="10" customWidth="1"/>
    <col min="11507" max="11507" width="17.375" customWidth="1"/>
    <col min="11508" max="11508" width="6.375" customWidth="1"/>
    <col min="11509" max="11509" width="6.5" customWidth="1"/>
    <col min="11510" max="11510" width="6.25" customWidth="1"/>
    <col min="11511" max="11512" width="17.625" customWidth="1"/>
    <col min="11513" max="11513" width="17.375" customWidth="1"/>
    <col min="11514" max="11515" width="16.125" customWidth="1"/>
    <col min="11516" max="11516" width="13.5" customWidth="1"/>
    <col min="11517" max="11517" width="15.125" customWidth="1"/>
    <col min="11518" max="11518" width="7.75" customWidth="1"/>
    <col min="11519" max="11519" width="16.125" customWidth="1"/>
    <col min="11520" max="11520" width="16" customWidth="1"/>
    <col min="11521" max="11521" width="14.25" customWidth="1"/>
    <col min="11522" max="11522" width="15.5" customWidth="1"/>
    <col min="11523" max="11523" width="16" customWidth="1"/>
    <col min="11524" max="11525" width="15.25" customWidth="1"/>
    <col min="11526" max="11534" width="0" hidden="1" customWidth="1"/>
    <col min="11761" max="11761" width="6" customWidth="1"/>
    <col min="11762" max="11762" width="10" customWidth="1"/>
    <col min="11763" max="11763" width="17.375" customWidth="1"/>
    <col min="11764" max="11764" width="6.375" customWidth="1"/>
    <col min="11765" max="11765" width="6.5" customWidth="1"/>
    <col min="11766" max="11766" width="6.25" customWidth="1"/>
    <col min="11767" max="11768" width="17.625" customWidth="1"/>
    <col min="11769" max="11769" width="17.375" customWidth="1"/>
    <col min="11770" max="11771" width="16.125" customWidth="1"/>
    <col min="11772" max="11772" width="13.5" customWidth="1"/>
    <col min="11773" max="11773" width="15.125" customWidth="1"/>
    <col min="11774" max="11774" width="7.75" customWidth="1"/>
    <col min="11775" max="11775" width="16.125" customWidth="1"/>
    <col min="11776" max="11776" width="16" customWidth="1"/>
    <col min="11777" max="11777" width="14.25" customWidth="1"/>
    <col min="11778" max="11778" width="15.5" customWidth="1"/>
    <col min="11779" max="11779" width="16" customWidth="1"/>
    <col min="11780" max="11781" width="15.25" customWidth="1"/>
    <col min="11782" max="11790" width="0" hidden="1" customWidth="1"/>
    <col min="12017" max="12017" width="6" customWidth="1"/>
    <col min="12018" max="12018" width="10" customWidth="1"/>
    <col min="12019" max="12019" width="17.375" customWidth="1"/>
    <col min="12020" max="12020" width="6.375" customWidth="1"/>
    <col min="12021" max="12021" width="6.5" customWidth="1"/>
    <col min="12022" max="12022" width="6.25" customWidth="1"/>
    <col min="12023" max="12024" width="17.625" customWidth="1"/>
    <col min="12025" max="12025" width="17.375" customWidth="1"/>
    <col min="12026" max="12027" width="16.125" customWidth="1"/>
    <col min="12028" max="12028" width="13.5" customWidth="1"/>
    <col min="12029" max="12029" width="15.125" customWidth="1"/>
    <col min="12030" max="12030" width="7.75" customWidth="1"/>
    <col min="12031" max="12031" width="16.125" customWidth="1"/>
    <col min="12032" max="12032" width="16" customWidth="1"/>
    <col min="12033" max="12033" width="14.25" customWidth="1"/>
    <col min="12034" max="12034" width="15.5" customWidth="1"/>
    <col min="12035" max="12035" width="16" customWidth="1"/>
    <col min="12036" max="12037" width="15.25" customWidth="1"/>
    <col min="12038" max="12046" width="0" hidden="1" customWidth="1"/>
    <col min="12273" max="12273" width="6" customWidth="1"/>
    <col min="12274" max="12274" width="10" customWidth="1"/>
    <col min="12275" max="12275" width="17.375" customWidth="1"/>
    <col min="12276" max="12276" width="6.375" customWidth="1"/>
    <col min="12277" max="12277" width="6.5" customWidth="1"/>
    <col min="12278" max="12278" width="6.25" customWidth="1"/>
    <col min="12279" max="12280" width="17.625" customWidth="1"/>
    <col min="12281" max="12281" width="17.375" customWidth="1"/>
    <col min="12282" max="12283" width="16.125" customWidth="1"/>
    <col min="12284" max="12284" width="13.5" customWidth="1"/>
    <col min="12285" max="12285" width="15.125" customWidth="1"/>
    <col min="12286" max="12286" width="7.75" customWidth="1"/>
    <col min="12287" max="12287" width="16.125" customWidth="1"/>
    <col min="12288" max="12288" width="16" customWidth="1"/>
    <col min="12289" max="12289" width="14.25" customWidth="1"/>
    <col min="12290" max="12290" width="15.5" customWidth="1"/>
    <col min="12291" max="12291" width="16" customWidth="1"/>
    <col min="12292" max="12293" width="15.25" customWidth="1"/>
    <col min="12294" max="12302" width="0" hidden="1" customWidth="1"/>
    <col min="12529" max="12529" width="6" customWidth="1"/>
    <col min="12530" max="12530" width="10" customWidth="1"/>
    <col min="12531" max="12531" width="17.375" customWidth="1"/>
    <col min="12532" max="12532" width="6.375" customWidth="1"/>
    <col min="12533" max="12533" width="6.5" customWidth="1"/>
    <col min="12534" max="12534" width="6.25" customWidth="1"/>
    <col min="12535" max="12536" width="17.625" customWidth="1"/>
    <col min="12537" max="12537" width="17.375" customWidth="1"/>
    <col min="12538" max="12539" width="16.125" customWidth="1"/>
    <col min="12540" max="12540" width="13.5" customWidth="1"/>
    <col min="12541" max="12541" width="15.125" customWidth="1"/>
    <col min="12542" max="12542" width="7.75" customWidth="1"/>
    <col min="12543" max="12543" width="16.125" customWidth="1"/>
    <col min="12544" max="12544" width="16" customWidth="1"/>
    <col min="12545" max="12545" width="14.25" customWidth="1"/>
    <col min="12546" max="12546" width="15.5" customWidth="1"/>
    <col min="12547" max="12547" width="16" customWidth="1"/>
    <col min="12548" max="12549" width="15.25" customWidth="1"/>
    <col min="12550" max="12558" width="0" hidden="1" customWidth="1"/>
    <col min="12785" max="12785" width="6" customWidth="1"/>
    <col min="12786" max="12786" width="10" customWidth="1"/>
    <col min="12787" max="12787" width="17.375" customWidth="1"/>
    <col min="12788" max="12788" width="6.375" customWidth="1"/>
    <col min="12789" max="12789" width="6.5" customWidth="1"/>
    <col min="12790" max="12790" width="6.25" customWidth="1"/>
    <col min="12791" max="12792" width="17.625" customWidth="1"/>
    <col min="12793" max="12793" width="17.375" customWidth="1"/>
    <col min="12794" max="12795" width="16.125" customWidth="1"/>
    <col min="12796" max="12796" width="13.5" customWidth="1"/>
    <col min="12797" max="12797" width="15.125" customWidth="1"/>
    <col min="12798" max="12798" width="7.75" customWidth="1"/>
    <col min="12799" max="12799" width="16.125" customWidth="1"/>
    <col min="12800" max="12800" width="16" customWidth="1"/>
    <col min="12801" max="12801" width="14.25" customWidth="1"/>
    <col min="12802" max="12802" width="15.5" customWidth="1"/>
    <col min="12803" max="12803" width="16" customWidth="1"/>
    <col min="12804" max="12805" width="15.25" customWidth="1"/>
    <col min="12806" max="12814" width="0" hidden="1" customWidth="1"/>
    <col min="13041" max="13041" width="6" customWidth="1"/>
    <col min="13042" max="13042" width="10" customWidth="1"/>
    <col min="13043" max="13043" width="17.375" customWidth="1"/>
    <col min="13044" max="13044" width="6.375" customWidth="1"/>
    <col min="13045" max="13045" width="6.5" customWidth="1"/>
    <col min="13046" max="13046" width="6.25" customWidth="1"/>
    <col min="13047" max="13048" width="17.625" customWidth="1"/>
    <col min="13049" max="13049" width="17.375" customWidth="1"/>
    <col min="13050" max="13051" width="16.125" customWidth="1"/>
    <col min="13052" max="13052" width="13.5" customWidth="1"/>
    <col min="13053" max="13053" width="15.125" customWidth="1"/>
    <col min="13054" max="13054" width="7.75" customWidth="1"/>
    <col min="13055" max="13055" width="16.125" customWidth="1"/>
    <col min="13056" max="13056" width="16" customWidth="1"/>
    <col min="13057" max="13057" width="14.25" customWidth="1"/>
    <col min="13058" max="13058" width="15.5" customWidth="1"/>
    <col min="13059" max="13059" width="16" customWidth="1"/>
    <col min="13060" max="13061" width="15.25" customWidth="1"/>
    <col min="13062" max="13070" width="0" hidden="1" customWidth="1"/>
    <col min="13297" max="13297" width="6" customWidth="1"/>
    <col min="13298" max="13298" width="10" customWidth="1"/>
    <col min="13299" max="13299" width="17.375" customWidth="1"/>
    <col min="13300" max="13300" width="6.375" customWidth="1"/>
    <col min="13301" max="13301" width="6.5" customWidth="1"/>
    <col min="13302" max="13302" width="6.25" customWidth="1"/>
    <col min="13303" max="13304" width="17.625" customWidth="1"/>
    <col min="13305" max="13305" width="17.375" customWidth="1"/>
    <col min="13306" max="13307" width="16.125" customWidth="1"/>
    <col min="13308" max="13308" width="13.5" customWidth="1"/>
    <col min="13309" max="13309" width="15.125" customWidth="1"/>
    <col min="13310" max="13310" width="7.75" customWidth="1"/>
    <col min="13311" max="13311" width="16.125" customWidth="1"/>
    <col min="13312" max="13312" width="16" customWidth="1"/>
    <col min="13313" max="13313" width="14.25" customWidth="1"/>
    <col min="13314" max="13314" width="15.5" customWidth="1"/>
    <col min="13315" max="13315" width="16" customWidth="1"/>
    <col min="13316" max="13317" width="15.25" customWidth="1"/>
    <col min="13318" max="13326" width="0" hidden="1" customWidth="1"/>
    <col min="13553" max="13553" width="6" customWidth="1"/>
    <col min="13554" max="13554" width="10" customWidth="1"/>
    <col min="13555" max="13555" width="17.375" customWidth="1"/>
    <col min="13556" max="13556" width="6.375" customWidth="1"/>
    <col min="13557" max="13557" width="6.5" customWidth="1"/>
    <col min="13558" max="13558" width="6.25" customWidth="1"/>
    <col min="13559" max="13560" width="17.625" customWidth="1"/>
    <col min="13561" max="13561" width="17.375" customWidth="1"/>
    <col min="13562" max="13563" width="16.125" customWidth="1"/>
    <col min="13564" max="13564" width="13.5" customWidth="1"/>
    <col min="13565" max="13565" width="15.125" customWidth="1"/>
    <col min="13566" max="13566" width="7.75" customWidth="1"/>
    <col min="13567" max="13567" width="16.125" customWidth="1"/>
    <col min="13568" max="13568" width="16" customWidth="1"/>
    <col min="13569" max="13569" width="14.25" customWidth="1"/>
    <col min="13570" max="13570" width="15.5" customWidth="1"/>
    <col min="13571" max="13571" width="16" customWidth="1"/>
    <col min="13572" max="13573" width="15.25" customWidth="1"/>
    <col min="13574" max="13582" width="0" hidden="1" customWidth="1"/>
    <col min="13809" max="13809" width="6" customWidth="1"/>
    <col min="13810" max="13810" width="10" customWidth="1"/>
    <col min="13811" max="13811" width="17.375" customWidth="1"/>
    <col min="13812" max="13812" width="6.375" customWidth="1"/>
    <col min="13813" max="13813" width="6.5" customWidth="1"/>
    <col min="13814" max="13814" width="6.25" customWidth="1"/>
    <col min="13815" max="13816" width="17.625" customWidth="1"/>
    <col min="13817" max="13817" width="17.375" customWidth="1"/>
    <col min="13818" max="13819" width="16.125" customWidth="1"/>
    <col min="13820" max="13820" width="13.5" customWidth="1"/>
    <col min="13821" max="13821" width="15.125" customWidth="1"/>
    <col min="13822" max="13822" width="7.75" customWidth="1"/>
    <col min="13823" max="13823" width="16.125" customWidth="1"/>
    <col min="13824" max="13824" width="16" customWidth="1"/>
    <col min="13825" max="13825" width="14.25" customWidth="1"/>
    <col min="13826" max="13826" width="15.5" customWidth="1"/>
    <col min="13827" max="13827" width="16" customWidth="1"/>
    <col min="13828" max="13829" width="15.25" customWidth="1"/>
    <col min="13830" max="13838" width="0" hidden="1" customWidth="1"/>
    <col min="14065" max="14065" width="6" customWidth="1"/>
    <col min="14066" max="14066" width="10" customWidth="1"/>
    <col min="14067" max="14067" width="17.375" customWidth="1"/>
    <col min="14068" max="14068" width="6.375" customWidth="1"/>
    <col min="14069" max="14069" width="6.5" customWidth="1"/>
    <col min="14070" max="14070" width="6.25" customWidth="1"/>
    <col min="14071" max="14072" width="17.625" customWidth="1"/>
    <col min="14073" max="14073" width="17.375" customWidth="1"/>
    <col min="14074" max="14075" width="16.125" customWidth="1"/>
    <col min="14076" max="14076" width="13.5" customWidth="1"/>
    <col min="14077" max="14077" width="15.125" customWidth="1"/>
    <col min="14078" max="14078" width="7.75" customWidth="1"/>
    <col min="14079" max="14079" width="16.125" customWidth="1"/>
    <col min="14080" max="14080" width="16" customWidth="1"/>
    <col min="14081" max="14081" width="14.25" customWidth="1"/>
    <col min="14082" max="14082" width="15.5" customWidth="1"/>
    <col min="14083" max="14083" width="16" customWidth="1"/>
    <col min="14084" max="14085" width="15.25" customWidth="1"/>
    <col min="14086" max="14094" width="0" hidden="1" customWidth="1"/>
    <col min="14321" max="14321" width="6" customWidth="1"/>
    <col min="14322" max="14322" width="10" customWidth="1"/>
    <col min="14323" max="14323" width="17.375" customWidth="1"/>
    <col min="14324" max="14324" width="6.375" customWidth="1"/>
    <col min="14325" max="14325" width="6.5" customWidth="1"/>
    <col min="14326" max="14326" width="6.25" customWidth="1"/>
    <col min="14327" max="14328" width="17.625" customWidth="1"/>
    <col min="14329" max="14329" width="17.375" customWidth="1"/>
    <col min="14330" max="14331" width="16.125" customWidth="1"/>
    <col min="14332" max="14332" width="13.5" customWidth="1"/>
    <col min="14333" max="14333" width="15.125" customWidth="1"/>
    <col min="14334" max="14334" width="7.75" customWidth="1"/>
    <col min="14335" max="14335" width="16.125" customWidth="1"/>
    <col min="14336" max="14336" width="16" customWidth="1"/>
    <col min="14337" max="14337" width="14.25" customWidth="1"/>
    <col min="14338" max="14338" width="15.5" customWidth="1"/>
    <col min="14339" max="14339" width="16" customWidth="1"/>
    <col min="14340" max="14341" width="15.25" customWidth="1"/>
    <col min="14342" max="14350" width="0" hidden="1" customWidth="1"/>
    <col min="14577" max="14577" width="6" customWidth="1"/>
    <col min="14578" max="14578" width="10" customWidth="1"/>
    <col min="14579" max="14579" width="17.375" customWidth="1"/>
    <col min="14580" max="14580" width="6.375" customWidth="1"/>
    <col min="14581" max="14581" width="6.5" customWidth="1"/>
    <col min="14582" max="14582" width="6.25" customWidth="1"/>
    <col min="14583" max="14584" width="17.625" customWidth="1"/>
    <col min="14585" max="14585" width="17.375" customWidth="1"/>
    <col min="14586" max="14587" width="16.125" customWidth="1"/>
    <col min="14588" max="14588" width="13.5" customWidth="1"/>
    <col min="14589" max="14589" width="15.125" customWidth="1"/>
    <col min="14590" max="14590" width="7.75" customWidth="1"/>
    <col min="14591" max="14591" width="16.125" customWidth="1"/>
    <col min="14592" max="14592" width="16" customWidth="1"/>
    <col min="14593" max="14593" width="14.25" customWidth="1"/>
    <col min="14594" max="14594" width="15.5" customWidth="1"/>
    <col min="14595" max="14595" width="16" customWidth="1"/>
    <col min="14596" max="14597" width="15.25" customWidth="1"/>
    <col min="14598" max="14606" width="0" hidden="1" customWidth="1"/>
    <col min="14833" max="14833" width="6" customWidth="1"/>
    <col min="14834" max="14834" width="10" customWidth="1"/>
    <col min="14835" max="14835" width="17.375" customWidth="1"/>
    <col min="14836" max="14836" width="6.375" customWidth="1"/>
    <col min="14837" max="14837" width="6.5" customWidth="1"/>
    <col min="14838" max="14838" width="6.25" customWidth="1"/>
    <col min="14839" max="14840" width="17.625" customWidth="1"/>
    <col min="14841" max="14841" width="17.375" customWidth="1"/>
    <col min="14842" max="14843" width="16.125" customWidth="1"/>
    <col min="14844" max="14844" width="13.5" customWidth="1"/>
    <col min="14845" max="14845" width="15.125" customWidth="1"/>
    <col min="14846" max="14846" width="7.75" customWidth="1"/>
    <col min="14847" max="14847" width="16.125" customWidth="1"/>
    <col min="14848" max="14848" width="16" customWidth="1"/>
    <col min="14849" max="14849" width="14.25" customWidth="1"/>
    <col min="14850" max="14850" width="15.5" customWidth="1"/>
    <col min="14851" max="14851" width="16" customWidth="1"/>
    <col min="14852" max="14853" width="15.25" customWidth="1"/>
    <col min="14854" max="14862" width="0" hidden="1" customWidth="1"/>
    <col min="15089" max="15089" width="6" customWidth="1"/>
    <col min="15090" max="15090" width="10" customWidth="1"/>
    <col min="15091" max="15091" width="17.375" customWidth="1"/>
    <col min="15092" max="15092" width="6.375" customWidth="1"/>
    <col min="15093" max="15093" width="6.5" customWidth="1"/>
    <col min="15094" max="15094" width="6.25" customWidth="1"/>
    <col min="15095" max="15096" width="17.625" customWidth="1"/>
    <col min="15097" max="15097" width="17.375" customWidth="1"/>
    <col min="15098" max="15099" width="16.125" customWidth="1"/>
    <col min="15100" max="15100" width="13.5" customWidth="1"/>
    <col min="15101" max="15101" width="15.125" customWidth="1"/>
    <col min="15102" max="15102" width="7.75" customWidth="1"/>
    <col min="15103" max="15103" width="16.125" customWidth="1"/>
    <col min="15104" max="15104" width="16" customWidth="1"/>
    <col min="15105" max="15105" width="14.25" customWidth="1"/>
    <col min="15106" max="15106" width="15.5" customWidth="1"/>
    <col min="15107" max="15107" width="16" customWidth="1"/>
    <col min="15108" max="15109" width="15.25" customWidth="1"/>
    <col min="15110" max="15118" width="0" hidden="1" customWidth="1"/>
    <col min="15345" max="15345" width="6" customWidth="1"/>
    <col min="15346" max="15346" width="10" customWidth="1"/>
    <col min="15347" max="15347" width="17.375" customWidth="1"/>
    <col min="15348" max="15348" width="6.375" customWidth="1"/>
    <col min="15349" max="15349" width="6.5" customWidth="1"/>
    <col min="15350" max="15350" width="6.25" customWidth="1"/>
    <col min="15351" max="15352" width="17.625" customWidth="1"/>
    <col min="15353" max="15353" width="17.375" customWidth="1"/>
    <col min="15354" max="15355" width="16.125" customWidth="1"/>
    <col min="15356" max="15356" width="13.5" customWidth="1"/>
    <col min="15357" max="15357" width="15.125" customWidth="1"/>
    <col min="15358" max="15358" width="7.75" customWidth="1"/>
    <col min="15359" max="15359" width="16.125" customWidth="1"/>
    <col min="15360" max="15360" width="16" customWidth="1"/>
    <col min="15361" max="15361" width="14.25" customWidth="1"/>
    <col min="15362" max="15362" width="15.5" customWidth="1"/>
    <col min="15363" max="15363" width="16" customWidth="1"/>
    <col min="15364" max="15365" width="15.25" customWidth="1"/>
    <col min="15366" max="15374" width="0" hidden="1" customWidth="1"/>
    <col min="15601" max="15601" width="6" customWidth="1"/>
    <col min="15602" max="15602" width="10" customWidth="1"/>
    <col min="15603" max="15603" width="17.375" customWidth="1"/>
    <col min="15604" max="15604" width="6.375" customWidth="1"/>
    <col min="15605" max="15605" width="6.5" customWidth="1"/>
    <col min="15606" max="15606" width="6.25" customWidth="1"/>
    <col min="15607" max="15608" width="17.625" customWidth="1"/>
    <col min="15609" max="15609" width="17.375" customWidth="1"/>
    <col min="15610" max="15611" width="16.125" customWidth="1"/>
    <col min="15612" max="15612" width="13.5" customWidth="1"/>
    <col min="15613" max="15613" width="15.125" customWidth="1"/>
    <col min="15614" max="15614" width="7.75" customWidth="1"/>
    <col min="15615" max="15615" width="16.125" customWidth="1"/>
    <col min="15616" max="15616" width="16" customWidth="1"/>
    <col min="15617" max="15617" width="14.25" customWidth="1"/>
    <col min="15618" max="15618" width="15.5" customWidth="1"/>
    <col min="15619" max="15619" width="16" customWidth="1"/>
    <col min="15620" max="15621" width="15.25" customWidth="1"/>
    <col min="15622" max="15630" width="0" hidden="1" customWidth="1"/>
    <col min="15857" max="15857" width="6" customWidth="1"/>
    <col min="15858" max="15858" width="10" customWidth="1"/>
    <col min="15859" max="15859" width="17.375" customWidth="1"/>
    <col min="15860" max="15860" width="6.375" customWidth="1"/>
    <col min="15861" max="15861" width="6.5" customWidth="1"/>
    <col min="15862" max="15862" width="6.25" customWidth="1"/>
    <col min="15863" max="15864" width="17.625" customWidth="1"/>
    <col min="15865" max="15865" width="17.375" customWidth="1"/>
    <col min="15866" max="15867" width="16.125" customWidth="1"/>
    <col min="15868" max="15868" width="13.5" customWidth="1"/>
    <col min="15869" max="15869" width="15.125" customWidth="1"/>
    <col min="15870" max="15870" width="7.75" customWidth="1"/>
    <col min="15871" max="15871" width="16.125" customWidth="1"/>
    <col min="15872" max="15872" width="16" customWidth="1"/>
    <col min="15873" max="15873" width="14.25" customWidth="1"/>
    <col min="15874" max="15874" width="15.5" customWidth="1"/>
    <col min="15875" max="15875" width="16" customWidth="1"/>
    <col min="15876" max="15877" width="15.25" customWidth="1"/>
    <col min="15878" max="15886" width="0" hidden="1" customWidth="1"/>
    <col min="16113" max="16113" width="6" customWidth="1"/>
    <col min="16114" max="16114" width="10" customWidth="1"/>
    <col min="16115" max="16115" width="17.375" customWidth="1"/>
    <col min="16116" max="16116" width="6.375" customWidth="1"/>
    <col min="16117" max="16117" width="6.5" customWidth="1"/>
    <col min="16118" max="16118" width="6.25" customWidth="1"/>
    <col min="16119" max="16120" width="17.625" customWidth="1"/>
    <col min="16121" max="16121" width="17.375" customWidth="1"/>
    <col min="16122" max="16123" width="16.125" customWidth="1"/>
    <col min="16124" max="16124" width="13.5" customWidth="1"/>
    <col min="16125" max="16125" width="15.125" customWidth="1"/>
    <col min="16126" max="16126" width="7.75" customWidth="1"/>
    <col min="16127" max="16127" width="16.125" customWidth="1"/>
    <col min="16128" max="16128" width="16" customWidth="1"/>
    <col min="16129" max="16129" width="14.25" customWidth="1"/>
    <col min="16130" max="16130" width="15.5" customWidth="1"/>
    <col min="16131" max="16131" width="16" customWidth="1"/>
    <col min="16132" max="16133" width="15.25" customWidth="1"/>
    <col min="16134" max="16142" width="0" hidden="1" customWidth="1"/>
  </cols>
  <sheetData>
    <row r="1" spans="1:14" ht="35.1" customHeight="1" x14ac:dyDescent="0.3">
      <c r="A1" s="255" t="s">
        <v>6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</row>
    <row r="2" spans="1:14" ht="24.75" customHeight="1" x14ac:dyDescent="0.15">
      <c r="A2" s="265" t="s">
        <v>182</v>
      </c>
      <c r="B2" s="265"/>
      <c r="C2" s="181"/>
      <c r="E2" s="161"/>
      <c r="F2" s="161"/>
      <c r="G2" s="161"/>
      <c r="H2" s="162"/>
      <c r="I2" s="162"/>
      <c r="J2" s="161"/>
      <c r="N2" s="8" t="s">
        <v>149</v>
      </c>
    </row>
    <row r="3" spans="1:14" ht="30" customHeight="1" x14ac:dyDescent="0.3">
      <c r="A3" s="168" t="s">
        <v>77</v>
      </c>
      <c r="B3" s="168" t="s">
        <v>83</v>
      </c>
      <c r="C3" s="168" t="s">
        <v>76</v>
      </c>
      <c r="D3" s="168" t="s">
        <v>100</v>
      </c>
      <c r="E3" s="167" t="s">
        <v>105</v>
      </c>
      <c r="F3" s="175" t="s">
        <v>184</v>
      </c>
      <c r="G3" s="168" t="s">
        <v>161</v>
      </c>
      <c r="H3" s="168" t="s">
        <v>191</v>
      </c>
      <c r="I3" s="168" t="s">
        <v>167</v>
      </c>
      <c r="J3" s="168" t="s">
        <v>253</v>
      </c>
      <c r="K3" s="169" t="s">
        <v>203</v>
      </c>
      <c r="L3" s="169" t="s">
        <v>101</v>
      </c>
      <c r="M3" s="170" t="s">
        <v>121</v>
      </c>
      <c r="N3" s="169" t="s">
        <v>145</v>
      </c>
    </row>
    <row r="4" spans="1:14" ht="30" customHeight="1" x14ac:dyDescent="0.3">
      <c r="A4" s="264" t="s">
        <v>89</v>
      </c>
      <c r="B4" s="264"/>
      <c r="C4" s="264"/>
      <c r="D4" s="264"/>
      <c r="E4" s="171">
        <f>SUM(E5:E33)</f>
        <v>59322000</v>
      </c>
      <c r="F4" s="171">
        <f>SUM(F5:F33)</f>
        <v>711864000</v>
      </c>
      <c r="G4" s="171">
        <f>SUM(G5:G33)</f>
        <v>71186400</v>
      </c>
      <c r="H4" s="171">
        <f>SUM(H5:H33)</f>
        <v>6240000</v>
      </c>
      <c r="I4" s="171">
        <f>SUM(I6:I33)</f>
        <v>100368540</v>
      </c>
      <c r="J4" s="171">
        <f>SUM(J5:J33)</f>
        <v>57000</v>
      </c>
      <c r="K4" s="171">
        <f>SUM(K5:K33)</f>
        <v>177851940</v>
      </c>
      <c r="L4" s="171">
        <f>SUM(L5:L33)</f>
        <v>889715940</v>
      </c>
      <c r="M4" s="172">
        <f>SUM(M5:M33)</f>
        <v>88971510</v>
      </c>
      <c r="N4" s="171">
        <f>SUM(N5:N33)</f>
        <v>800744430</v>
      </c>
    </row>
    <row r="5" spans="1:14" ht="30" customHeight="1" x14ac:dyDescent="0.3">
      <c r="A5" s="14">
        <v>1</v>
      </c>
      <c r="B5" s="14" t="s">
        <v>130</v>
      </c>
      <c r="C5" s="183" t="s">
        <v>74</v>
      </c>
      <c r="D5" s="15">
        <v>18</v>
      </c>
      <c r="E5" s="16">
        <v>3848000</v>
      </c>
      <c r="F5" s="16">
        <f t="shared" ref="F5:F33" si="0">E5*12</f>
        <v>46176000</v>
      </c>
      <c r="G5" s="16">
        <f t="shared" ref="G5:G33" si="1">E5*120%</f>
        <v>4617600</v>
      </c>
      <c r="H5" s="16">
        <f>80000*12</f>
        <v>960000</v>
      </c>
      <c r="J5" s="16"/>
      <c r="K5" s="166">
        <f t="shared" ref="K5:K33" si="2">SUM(G5:J5)</f>
        <v>5577600</v>
      </c>
      <c r="L5" s="166">
        <f t="shared" ref="L5:L33" si="3">F5+K5</f>
        <v>51753600</v>
      </c>
      <c r="M5" s="166">
        <f t="shared" ref="M5:M33" si="4">ROUNDDOWN(L5*10%,-1)</f>
        <v>5175360</v>
      </c>
      <c r="N5" s="166">
        <f t="shared" ref="N5:N33" si="5">L5-M5</f>
        <v>46578240</v>
      </c>
    </row>
    <row r="6" spans="1:14" ht="30" customHeight="1" x14ac:dyDescent="0.3">
      <c r="A6" s="14">
        <v>2</v>
      </c>
      <c r="B6" s="14" t="s">
        <v>199</v>
      </c>
      <c r="C6" s="183" t="s">
        <v>56</v>
      </c>
      <c r="D6" s="15">
        <v>20</v>
      </c>
      <c r="E6" s="16">
        <v>3610000</v>
      </c>
      <c r="F6" s="16">
        <f t="shared" si="0"/>
        <v>43320000</v>
      </c>
      <c r="G6" s="16">
        <f t="shared" si="1"/>
        <v>4332000</v>
      </c>
      <c r="H6" s="16">
        <f>40000*12</f>
        <v>480000</v>
      </c>
      <c r="I6" s="16">
        <f t="shared" ref="I6:I14" si="6">ROUNDDOWN(F6*1/209*1.5*8,-1)</f>
        <v>2487270</v>
      </c>
      <c r="J6" s="16"/>
      <c r="K6" s="166">
        <f t="shared" si="2"/>
        <v>7299270</v>
      </c>
      <c r="L6" s="166">
        <f t="shared" si="3"/>
        <v>50619270</v>
      </c>
      <c r="M6" s="166">
        <f t="shared" si="4"/>
        <v>5061920</v>
      </c>
      <c r="N6" s="166">
        <f t="shared" si="5"/>
        <v>45557350</v>
      </c>
    </row>
    <row r="7" spans="1:14" ht="30" customHeight="1" x14ac:dyDescent="0.3">
      <c r="A7" s="14">
        <v>3</v>
      </c>
      <c r="B7" s="14" t="s">
        <v>183</v>
      </c>
      <c r="C7" s="184" t="s">
        <v>58</v>
      </c>
      <c r="D7" s="15">
        <v>10</v>
      </c>
      <c r="E7" s="16">
        <v>2625000</v>
      </c>
      <c r="F7" s="16">
        <f t="shared" si="0"/>
        <v>31500000</v>
      </c>
      <c r="G7" s="16">
        <f t="shared" si="1"/>
        <v>3150000</v>
      </c>
      <c r="H7" s="16">
        <f>80000*12</f>
        <v>960000</v>
      </c>
      <c r="I7" s="16">
        <f t="shared" si="6"/>
        <v>1808610</v>
      </c>
      <c r="J7" s="16"/>
      <c r="K7" s="166">
        <f t="shared" si="2"/>
        <v>5918610</v>
      </c>
      <c r="L7" s="166">
        <f t="shared" si="3"/>
        <v>37418610</v>
      </c>
      <c r="M7" s="166">
        <f t="shared" si="4"/>
        <v>3741860</v>
      </c>
      <c r="N7" s="166">
        <f t="shared" si="5"/>
        <v>33676750</v>
      </c>
    </row>
    <row r="8" spans="1:14" ht="30" customHeight="1" x14ac:dyDescent="0.3">
      <c r="A8" s="14">
        <v>4</v>
      </c>
      <c r="B8" s="21" t="s">
        <v>94</v>
      </c>
      <c r="C8" s="185" t="s">
        <v>60</v>
      </c>
      <c r="D8" s="15">
        <v>6</v>
      </c>
      <c r="E8" s="16">
        <v>2224000</v>
      </c>
      <c r="F8" s="16">
        <f t="shared" si="0"/>
        <v>26688000</v>
      </c>
      <c r="G8" s="16">
        <f t="shared" si="1"/>
        <v>2668800</v>
      </c>
      <c r="H8" s="16">
        <f>40000*12</f>
        <v>480000</v>
      </c>
      <c r="I8" s="16">
        <f t="shared" si="6"/>
        <v>1532320</v>
      </c>
      <c r="J8" s="16"/>
      <c r="K8" s="166">
        <f t="shared" si="2"/>
        <v>4681120</v>
      </c>
      <c r="L8" s="166">
        <f t="shared" si="3"/>
        <v>31369120</v>
      </c>
      <c r="M8" s="166">
        <f t="shared" si="4"/>
        <v>3136910</v>
      </c>
      <c r="N8" s="166">
        <f t="shared" si="5"/>
        <v>28232210</v>
      </c>
    </row>
    <row r="9" spans="1:14" ht="30" customHeight="1" x14ac:dyDescent="0.3">
      <c r="A9" s="14">
        <v>5</v>
      </c>
      <c r="B9" s="21" t="s">
        <v>208</v>
      </c>
      <c r="C9" s="186" t="s">
        <v>65</v>
      </c>
      <c r="D9" s="15">
        <v>6</v>
      </c>
      <c r="E9" s="16">
        <v>2224000</v>
      </c>
      <c r="F9" s="16">
        <f t="shared" si="0"/>
        <v>26688000</v>
      </c>
      <c r="G9" s="16">
        <f t="shared" si="1"/>
        <v>2668800</v>
      </c>
      <c r="H9" s="16"/>
      <c r="I9" s="16">
        <f t="shared" si="6"/>
        <v>1532320</v>
      </c>
      <c r="J9" s="16"/>
      <c r="K9" s="166">
        <f t="shared" si="2"/>
        <v>4201120</v>
      </c>
      <c r="L9" s="166">
        <f t="shared" si="3"/>
        <v>30889120</v>
      </c>
      <c r="M9" s="166">
        <f t="shared" si="4"/>
        <v>3088910</v>
      </c>
      <c r="N9" s="166">
        <f t="shared" si="5"/>
        <v>27800210</v>
      </c>
    </row>
    <row r="10" spans="1:14" ht="30" customHeight="1" x14ac:dyDescent="0.3">
      <c r="A10" s="14">
        <v>6</v>
      </c>
      <c r="B10" s="21" t="s">
        <v>181</v>
      </c>
      <c r="C10" s="187" t="s">
        <v>70</v>
      </c>
      <c r="D10" s="15">
        <v>6</v>
      </c>
      <c r="E10" s="16">
        <v>2224000</v>
      </c>
      <c r="F10" s="16">
        <f t="shared" si="0"/>
        <v>26688000</v>
      </c>
      <c r="G10" s="16">
        <f t="shared" si="1"/>
        <v>2668800</v>
      </c>
      <c r="H10" s="16"/>
      <c r="I10" s="16">
        <f t="shared" si="6"/>
        <v>1532320</v>
      </c>
      <c r="J10" s="16"/>
      <c r="K10" s="166">
        <f t="shared" si="2"/>
        <v>4201120</v>
      </c>
      <c r="L10" s="166">
        <f t="shared" si="3"/>
        <v>30889120</v>
      </c>
      <c r="M10" s="166">
        <f t="shared" si="4"/>
        <v>3088910</v>
      </c>
      <c r="N10" s="166">
        <f t="shared" si="5"/>
        <v>27800210</v>
      </c>
    </row>
    <row r="11" spans="1:14" ht="30" customHeight="1" x14ac:dyDescent="0.3">
      <c r="A11" s="14">
        <v>7</v>
      </c>
      <c r="B11" s="14" t="s">
        <v>85</v>
      </c>
      <c r="C11" s="183" t="s">
        <v>62</v>
      </c>
      <c r="D11" s="15">
        <v>23</v>
      </c>
      <c r="E11" s="16">
        <v>2875000</v>
      </c>
      <c r="F11" s="16">
        <f t="shared" si="0"/>
        <v>34500000</v>
      </c>
      <c r="G11" s="16">
        <f t="shared" si="1"/>
        <v>3450000</v>
      </c>
      <c r="H11" s="16"/>
      <c r="I11" s="16">
        <f t="shared" si="6"/>
        <v>1980860</v>
      </c>
      <c r="J11" s="16"/>
      <c r="K11" s="166">
        <f t="shared" si="2"/>
        <v>5430860</v>
      </c>
      <c r="L11" s="166">
        <f t="shared" si="3"/>
        <v>39930860</v>
      </c>
      <c r="M11" s="166">
        <f t="shared" si="4"/>
        <v>3993080</v>
      </c>
      <c r="N11" s="166">
        <f t="shared" si="5"/>
        <v>35937780</v>
      </c>
    </row>
    <row r="12" spans="1:14" ht="30" customHeight="1" x14ac:dyDescent="0.3">
      <c r="A12" s="14">
        <v>8</v>
      </c>
      <c r="B12" s="21" t="s">
        <v>87</v>
      </c>
      <c r="C12" s="184" t="s">
        <v>67</v>
      </c>
      <c r="D12" s="15">
        <v>14</v>
      </c>
      <c r="E12" s="16">
        <v>2440000</v>
      </c>
      <c r="F12" s="16">
        <f t="shared" si="0"/>
        <v>29280000</v>
      </c>
      <c r="G12" s="16">
        <f t="shared" si="1"/>
        <v>2928000</v>
      </c>
      <c r="H12" s="16">
        <f>60000*12</f>
        <v>720000</v>
      </c>
      <c r="I12" s="16">
        <f t="shared" si="6"/>
        <v>1681140</v>
      </c>
      <c r="J12" s="16"/>
      <c r="K12" s="166">
        <f t="shared" si="2"/>
        <v>5329140</v>
      </c>
      <c r="L12" s="166">
        <f t="shared" si="3"/>
        <v>34609140</v>
      </c>
      <c r="M12" s="166">
        <f t="shared" si="4"/>
        <v>3460910</v>
      </c>
      <c r="N12" s="166">
        <f t="shared" si="5"/>
        <v>31148230</v>
      </c>
    </row>
    <row r="13" spans="1:14" ht="30" customHeight="1" x14ac:dyDescent="0.3">
      <c r="A13" s="14">
        <v>9</v>
      </c>
      <c r="B13" s="21" t="s">
        <v>202</v>
      </c>
      <c r="C13" s="184" t="s">
        <v>59</v>
      </c>
      <c r="D13" s="15">
        <v>4</v>
      </c>
      <c r="E13" s="16">
        <v>1799000</v>
      </c>
      <c r="F13" s="16">
        <f t="shared" si="0"/>
        <v>21588000</v>
      </c>
      <c r="G13" s="16">
        <f t="shared" si="1"/>
        <v>2158800</v>
      </c>
      <c r="H13" s="16">
        <f>40000*12</f>
        <v>480000</v>
      </c>
      <c r="I13" s="16">
        <f t="shared" si="6"/>
        <v>1239500</v>
      </c>
      <c r="J13" s="16">
        <v>27000</v>
      </c>
      <c r="K13" s="166">
        <f t="shared" si="2"/>
        <v>3905300</v>
      </c>
      <c r="L13" s="166">
        <f t="shared" si="3"/>
        <v>25493300</v>
      </c>
      <c r="M13" s="166">
        <f t="shared" si="4"/>
        <v>2549330</v>
      </c>
      <c r="N13" s="166">
        <f t="shared" si="5"/>
        <v>22943970</v>
      </c>
    </row>
    <row r="14" spans="1:14" ht="30" customHeight="1" x14ac:dyDescent="0.3">
      <c r="A14" s="14">
        <v>10</v>
      </c>
      <c r="B14" s="21" t="s">
        <v>179</v>
      </c>
      <c r="C14" s="186" t="s">
        <v>55</v>
      </c>
      <c r="D14" s="15">
        <v>2</v>
      </c>
      <c r="E14" s="16">
        <v>1690000</v>
      </c>
      <c r="F14" s="16">
        <f t="shared" si="0"/>
        <v>20280000</v>
      </c>
      <c r="G14" s="16">
        <f t="shared" si="1"/>
        <v>2028000</v>
      </c>
      <c r="H14" s="16"/>
      <c r="I14" s="16">
        <f t="shared" si="6"/>
        <v>1164400</v>
      </c>
      <c r="J14" s="16"/>
      <c r="K14" s="166">
        <f t="shared" si="2"/>
        <v>3192400</v>
      </c>
      <c r="L14" s="166">
        <f t="shared" si="3"/>
        <v>23472400</v>
      </c>
      <c r="M14" s="166">
        <f t="shared" si="4"/>
        <v>2347240</v>
      </c>
      <c r="N14" s="166">
        <f t="shared" si="5"/>
        <v>21125160</v>
      </c>
    </row>
    <row r="15" spans="1:14" ht="30" customHeight="1" x14ac:dyDescent="0.3">
      <c r="A15" s="14">
        <v>11</v>
      </c>
      <c r="B15" s="21" t="s">
        <v>272</v>
      </c>
      <c r="C15" s="186" t="s">
        <v>52</v>
      </c>
      <c r="D15" s="15">
        <v>12</v>
      </c>
      <c r="E15" s="16">
        <v>2539000</v>
      </c>
      <c r="F15" s="16">
        <f t="shared" si="0"/>
        <v>30468000</v>
      </c>
      <c r="G15" s="16">
        <f t="shared" si="1"/>
        <v>3046800</v>
      </c>
      <c r="H15" s="16"/>
      <c r="I15" s="16">
        <f t="shared" ref="I15:I32" si="7">ROUNDDOWN(F15*1/209*1.5*30,-1)</f>
        <v>6560090</v>
      </c>
      <c r="J15" s="16"/>
      <c r="K15" s="166">
        <f t="shared" si="2"/>
        <v>9606890</v>
      </c>
      <c r="L15" s="166">
        <f t="shared" si="3"/>
        <v>40074890</v>
      </c>
      <c r="M15" s="166">
        <f t="shared" si="4"/>
        <v>4007480</v>
      </c>
      <c r="N15" s="166">
        <f t="shared" si="5"/>
        <v>36067410</v>
      </c>
    </row>
    <row r="16" spans="1:14" ht="30" customHeight="1" x14ac:dyDescent="0.3">
      <c r="A16" s="14">
        <v>12</v>
      </c>
      <c r="B16" s="21" t="s">
        <v>132</v>
      </c>
      <c r="C16" s="183" t="s">
        <v>57</v>
      </c>
      <c r="D16" s="15">
        <v>6</v>
      </c>
      <c r="E16" s="16">
        <v>1964000</v>
      </c>
      <c r="F16" s="16">
        <f t="shared" si="0"/>
        <v>23568000</v>
      </c>
      <c r="G16" s="16">
        <f t="shared" si="1"/>
        <v>2356800</v>
      </c>
      <c r="H16" s="16">
        <f>40000*12</f>
        <v>480000</v>
      </c>
      <c r="I16" s="16">
        <f t="shared" si="7"/>
        <v>5074440</v>
      </c>
      <c r="J16" s="16"/>
      <c r="K16" s="166">
        <f t="shared" si="2"/>
        <v>7911240</v>
      </c>
      <c r="L16" s="166">
        <f t="shared" si="3"/>
        <v>31479240</v>
      </c>
      <c r="M16" s="166">
        <f t="shared" si="4"/>
        <v>3147920</v>
      </c>
      <c r="N16" s="166">
        <f t="shared" si="5"/>
        <v>28331320</v>
      </c>
    </row>
    <row r="17" spans="1:14" ht="30" customHeight="1" x14ac:dyDescent="0.3">
      <c r="A17" s="14">
        <v>13</v>
      </c>
      <c r="B17" s="21" t="s">
        <v>204</v>
      </c>
      <c r="C17" s="183" t="s">
        <v>71</v>
      </c>
      <c r="D17" s="15">
        <v>7</v>
      </c>
      <c r="E17" s="16">
        <v>2014000</v>
      </c>
      <c r="F17" s="16">
        <f t="shared" si="0"/>
        <v>24168000</v>
      </c>
      <c r="G17" s="16">
        <f t="shared" si="1"/>
        <v>2416800</v>
      </c>
      <c r="H17" s="16"/>
      <c r="I17" s="16">
        <f t="shared" si="7"/>
        <v>5203630</v>
      </c>
      <c r="J17" s="16"/>
      <c r="K17" s="166">
        <f t="shared" si="2"/>
        <v>7620430</v>
      </c>
      <c r="L17" s="166">
        <f t="shared" si="3"/>
        <v>31788430</v>
      </c>
      <c r="M17" s="166">
        <f t="shared" si="4"/>
        <v>3178840</v>
      </c>
      <c r="N17" s="166">
        <f t="shared" si="5"/>
        <v>28609590</v>
      </c>
    </row>
    <row r="18" spans="1:14" ht="30" customHeight="1" x14ac:dyDescent="0.3">
      <c r="A18" s="14">
        <v>14</v>
      </c>
      <c r="B18" s="21" t="s">
        <v>172</v>
      </c>
      <c r="C18" s="186" t="s">
        <v>69</v>
      </c>
      <c r="D18" s="15">
        <v>9</v>
      </c>
      <c r="E18" s="16">
        <v>2165000</v>
      </c>
      <c r="F18" s="16">
        <f t="shared" si="0"/>
        <v>25980000</v>
      </c>
      <c r="G18" s="16">
        <f t="shared" si="1"/>
        <v>2598000</v>
      </c>
      <c r="H18" s="16"/>
      <c r="I18" s="16">
        <f t="shared" si="7"/>
        <v>5593770</v>
      </c>
      <c r="J18" s="16"/>
      <c r="K18" s="166">
        <f t="shared" si="2"/>
        <v>8191770</v>
      </c>
      <c r="L18" s="166">
        <f t="shared" si="3"/>
        <v>34171770</v>
      </c>
      <c r="M18" s="166">
        <f t="shared" si="4"/>
        <v>3417170</v>
      </c>
      <c r="N18" s="166">
        <f t="shared" si="5"/>
        <v>30754600</v>
      </c>
    </row>
    <row r="19" spans="1:14" ht="30" customHeight="1" x14ac:dyDescent="0.3">
      <c r="A19" s="14">
        <v>15</v>
      </c>
      <c r="B19" s="21" t="s">
        <v>186</v>
      </c>
      <c r="C19" s="183" t="s">
        <v>64</v>
      </c>
      <c r="D19" s="15">
        <v>4</v>
      </c>
      <c r="E19" s="16">
        <v>1799000</v>
      </c>
      <c r="F19" s="16">
        <f t="shared" si="0"/>
        <v>21588000</v>
      </c>
      <c r="G19" s="16">
        <f t="shared" si="1"/>
        <v>2158800</v>
      </c>
      <c r="H19" s="16"/>
      <c r="I19" s="16">
        <f t="shared" si="7"/>
        <v>4648130</v>
      </c>
      <c r="J19" s="16"/>
      <c r="K19" s="166">
        <f t="shared" si="2"/>
        <v>6806930</v>
      </c>
      <c r="L19" s="166">
        <f t="shared" si="3"/>
        <v>28394930</v>
      </c>
      <c r="M19" s="166">
        <f t="shared" si="4"/>
        <v>2839490</v>
      </c>
      <c r="N19" s="166">
        <f t="shared" si="5"/>
        <v>25555440</v>
      </c>
    </row>
    <row r="20" spans="1:14" ht="30" customHeight="1" x14ac:dyDescent="0.3">
      <c r="A20" s="14">
        <v>16</v>
      </c>
      <c r="B20" s="21" t="s">
        <v>214</v>
      </c>
      <c r="C20" s="186" t="s">
        <v>63</v>
      </c>
      <c r="D20" s="15">
        <v>4</v>
      </c>
      <c r="E20" s="16">
        <v>1799000</v>
      </c>
      <c r="F20" s="16">
        <f t="shared" si="0"/>
        <v>21588000</v>
      </c>
      <c r="G20" s="16">
        <f t="shared" si="1"/>
        <v>2158800</v>
      </c>
      <c r="H20" s="16"/>
      <c r="I20" s="16">
        <f t="shared" si="7"/>
        <v>4648130</v>
      </c>
      <c r="J20" s="16"/>
      <c r="K20" s="166">
        <f t="shared" si="2"/>
        <v>6806930</v>
      </c>
      <c r="L20" s="166">
        <f t="shared" si="3"/>
        <v>28394930</v>
      </c>
      <c r="M20" s="166">
        <f t="shared" si="4"/>
        <v>2839490</v>
      </c>
      <c r="N20" s="166">
        <f t="shared" si="5"/>
        <v>25555440</v>
      </c>
    </row>
    <row r="21" spans="1:14" ht="30" customHeight="1" x14ac:dyDescent="0.3">
      <c r="A21" s="14">
        <v>17</v>
      </c>
      <c r="B21" s="21" t="s">
        <v>207</v>
      </c>
      <c r="C21" s="186" t="s">
        <v>68</v>
      </c>
      <c r="D21" s="15">
        <v>4</v>
      </c>
      <c r="E21" s="16">
        <v>1799000</v>
      </c>
      <c r="F21" s="16">
        <f t="shared" si="0"/>
        <v>21588000</v>
      </c>
      <c r="G21" s="16">
        <f t="shared" si="1"/>
        <v>2158800</v>
      </c>
      <c r="H21" s="16"/>
      <c r="I21" s="16">
        <f t="shared" si="7"/>
        <v>4648130</v>
      </c>
      <c r="J21" s="16"/>
      <c r="K21" s="166">
        <f t="shared" si="2"/>
        <v>6806930</v>
      </c>
      <c r="L21" s="166">
        <f t="shared" si="3"/>
        <v>28394930</v>
      </c>
      <c r="M21" s="166">
        <f t="shared" si="4"/>
        <v>2839490</v>
      </c>
      <c r="N21" s="166">
        <f t="shared" si="5"/>
        <v>25555440</v>
      </c>
    </row>
    <row r="22" spans="1:14" ht="30" customHeight="1" x14ac:dyDescent="0.3">
      <c r="A22" s="14">
        <v>18</v>
      </c>
      <c r="B22" s="21" t="s">
        <v>148</v>
      </c>
      <c r="C22" s="185" t="s">
        <v>72</v>
      </c>
      <c r="D22" s="15">
        <v>4</v>
      </c>
      <c r="E22" s="16">
        <v>1799000</v>
      </c>
      <c r="F22" s="16">
        <f t="shared" si="0"/>
        <v>21588000</v>
      </c>
      <c r="G22" s="16">
        <f t="shared" si="1"/>
        <v>2158800</v>
      </c>
      <c r="H22" s="16"/>
      <c r="I22" s="16">
        <f t="shared" si="7"/>
        <v>4648130</v>
      </c>
      <c r="J22" s="16"/>
      <c r="K22" s="166">
        <f t="shared" si="2"/>
        <v>6806930</v>
      </c>
      <c r="L22" s="166">
        <f t="shared" si="3"/>
        <v>28394930</v>
      </c>
      <c r="M22" s="166">
        <f t="shared" si="4"/>
        <v>2839490</v>
      </c>
      <c r="N22" s="166">
        <f t="shared" si="5"/>
        <v>25555440</v>
      </c>
    </row>
    <row r="23" spans="1:14" ht="30" customHeight="1" x14ac:dyDescent="0.3">
      <c r="A23" s="14">
        <v>19</v>
      </c>
      <c r="B23" s="21" t="s">
        <v>189</v>
      </c>
      <c r="C23" s="186" t="s">
        <v>61</v>
      </c>
      <c r="D23" s="15">
        <v>2</v>
      </c>
      <c r="E23" s="16">
        <v>1690000</v>
      </c>
      <c r="F23" s="16">
        <f t="shared" si="0"/>
        <v>20280000</v>
      </c>
      <c r="G23" s="16">
        <f t="shared" si="1"/>
        <v>2028000</v>
      </c>
      <c r="H23" s="16">
        <f>20000*12</f>
        <v>240000</v>
      </c>
      <c r="I23" s="16">
        <f t="shared" si="7"/>
        <v>4366500</v>
      </c>
      <c r="J23" s="16"/>
      <c r="K23" s="166">
        <f t="shared" si="2"/>
        <v>6634500</v>
      </c>
      <c r="L23" s="166">
        <f t="shared" si="3"/>
        <v>26914500</v>
      </c>
      <c r="M23" s="166">
        <f t="shared" si="4"/>
        <v>2691450</v>
      </c>
      <c r="N23" s="166">
        <f t="shared" si="5"/>
        <v>24223050</v>
      </c>
    </row>
    <row r="24" spans="1:14" ht="30" customHeight="1" x14ac:dyDescent="0.3">
      <c r="A24" s="14">
        <v>20</v>
      </c>
      <c r="B24" s="21" t="s">
        <v>180</v>
      </c>
      <c r="C24" s="186" t="s">
        <v>73</v>
      </c>
      <c r="D24" s="15">
        <v>6</v>
      </c>
      <c r="E24" s="16">
        <v>1964000</v>
      </c>
      <c r="F24" s="16">
        <f t="shared" si="0"/>
        <v>23568000</v>
      </c>
      <c r="G24" s="16">
        <f t="shared" si="1"/>
        <v>2356800</v>
      </c>
      <c r="H24" s="16"/>
      <c r="I24" s="16">
        <f t="shared" si="7"/>
        <v>5074440</v>
      </c>
      <c r="J24" s="16"/>
      <c r="K24" s="166">
        <f t="shared" si="2"/>
        <v>7431240</v>
      </c>
      <c r="L24" s="166">
        <f t="shared" si="3"/>
        <v>30999240</v>
      </c>
      <c r="M24" s="166">
        <f t="shared" si="4"/>
        <v>3099920</v>
      </c>
      <c r="N24" s="166">
        <f t="shared" si="5"/>
        <v>27899320</v>
      </c>
    </row>
    <row r="25" spans="1:14" ht="30" customHeight="1" x14ac:dyDescent="0.3">
      <c r="A25" s="14">
        <v>21</v>
      </c>
      <c r="B25" s="21" t="s">
        <v>187</v>
      </c>
      <c r="C25" s="186" t="s">
        <v>66</v>
      </c>
      <c r="D25" s="15">
        <v>7</v>
      </c>
      <c r="E25" s="16">
        <v>2014000</v>
      </c>
      <c r="F25" s="16">
        <f t="shared" si="0"/>
        <v>24168000</v>
      </c>
      <c r="G25" s="16">
        <f t="shared" si="1"/>
        <v>2416800</v>
      </c>
      <c r="H25" s="16"/>
      <c r="I25" s="16">
        <f t="shared" si="7"/>
        <v>5203630</v>
      </c>
      <c r="J25" s="16"/>
      <c r="K25" s="166">
        <f t="shared" si="2"/>
        <v>7620430</v>
      </c>
      <c r="L25" s="166">
        <f t="shared" si="3"/>
        <v>31788430</v>
      </c>
      <c r="M25" s="166">
        <f t="shared" si="4"/>
        <v>3178840</v>
      </c>
      <c r="N25" s="166">
        <f t="shared" si="5"/>
        <v>28609590</v>
      </c>
    </row>
    <row r="26" spans="1:14" ht="30" customHeight="1" x14ac:dyDescent="0.3">
      <c r="A26" s="14">
        <v>22</v>
      </c>
      <c r="B26" s="21" t="s">
        <v>213</v>
      </c>
      <c r="C26" s="186" t="s">
        <v>124</v>
      </c>
      <c r="D26" s="15">
        <v>2</v>
      </c>
      <c r="E26" s="16">
        <v>1690000</v>
      </c>
      <c r="F26" s="16">
        <f t="shared" si="0"/>
        <v>20280000</v>
      </c>
      <c r="G26" s="16">
        <f t="shared" si="1"/>
        <v>2028000</v>
      </c>
      <c r="H26" s="16"/>
      <c r="I26" s="16">
        <f t="shared" si="7"/>
        <v>4366500</v>
      </c>
      <c r="J26" s="16"/>
      <c r="K26" s="166">
        <f t="shared" si="2"/>
        <v>6394500</v>
      </c>
      <c r="L26" s="166">
        <f t="shared" si="3"/>
        <v>26674500</v>
      </c>
      <c r="M26" s="166">
        <f t="shared" si="4"/>
        <v>2667450</v>
      </c>
      <c r="N26" s="166">
        <f t="shared" si="5"/>
        <v>24007050</v>
      </c>
    </row>
    <row r="27" spans="1:14" ht="30" customHeight="1" x14ac:dyDescent="0.3">
      <c r="A27" s="14">
        <v>23</v>
      </c>
      <c r="B27" s="21" t="s">
        <v>131</v>
      </c>
      <c r="C27" s="186" t="s">
        <v>51</v>
      </c>
      <c r="D27" s="15">
        <v>2</v>
      </c>
      <c r="E27" s="16">
        <v>1690000</v>
      </c>
      <c r="F27" s="16">
        <f t="shared" si="0"/>
        <v>20280000</v>
      </c>
      <c r="G27" s="16">
        <f t="shared" si="1"/>
        <v>2028000</v>
      </c>
      <c r="H27" s="16"/>
      <c r="I27" s="16">
        <f t="shared" si="7"/>
        <v>4366500</v>
      </c>
      <c r="J27" s="16"/>
      <c r="K27" s="166">
        <f t="shared" si="2"/>
        <v>6394500</v>
      </c>
      <c r="L27" s="166">
        <f t="shared" si="3"/>
        <v>26674500</v>
      </c>
      <c r="M27" s="166">
        <f t="shared" si="4"/>
        <v>2667450</v>
      </c>
      <c r="N27" s="166">
        <f t="shared" si="5"/>
        <v>24007050</v>
      </c>
    </row>
    <row r="28" spans="1:14" ht="30" customHeight="1" x14ac:dyDescent="0.3">
      <c r="A28" s="14">
        <v>24</v>
      </c>
      <c r="B28" s="21" t="s">
        <v>177</v>
      </c>
      <c r="C28" s="186" t="s">
        <v>206</v>
      </c>
      <c r="D28" s="15">
        <v>7</v>
      </c>
      <c r="E28" s="16">
        <v>2014000</v>
      </c>
      <c r="F28" s="16">
        <f t="shared" si="0"/>
        <v>24168000</v>
      </c>
      <c r="G28" s="16">
        <f t="shared" si="1"/>
        <v>2416800</v>
      </c>
      <c r="H28" s="16"/>
      <c r="I28" s="16">
        <f t="shared" si="7"/>
        <v>5203630</v>
      </c>
      <c r="J28" s="16"/>
      <c r="K28" s="166">
        <f t="shared" si="2"/>
        <v>7620430</v>
      </c>
      <c r="L28" s="166">
        <f t="shared" si="3"/>
        <v>31788430</v>
      </c>
      <c r="M28" s="166">
        <f t="shared" si="4"/>
        <v>3178840</v>
      </c>
      <c r="N28" s="166">
        <f t="shared" si="5"/>
        <v>28609590</v>
      </c>
    </row>
    <row r="29" spans="1:14" ht="30" customHeight="1" x14ac:dyDescent="0.3">
      <c r="A29" s="14">
        <v>25</v>
      </c>
      <c r="B29" s="21" t="s">
        <v>190</v>
      </c>
      <c r="C29" s="186" t="s">
        <v>82</v>
      </c>
      <c r="D29" s="15">
        <v>1</v>
      </c>
      <c r="E29" s="16">
        <v>1799000</v>
      </c>
      <c r="F29" s="16">
        <f t="shared" si="0"/>
        <v>21588000</v>
      </c>
      <c r="G29" s="16">
        <f t="shared" si="1"/>
        <v>2158800</v>
      </c>
      <c r="H29" s="16">
        <f>20000*12</f>
        <v>240000</v>
      </c>
      <c r="I29" s="16">
        <f t="shared" si="7"/>
        <v>4648130</v>
      </c>
      <c r="J29" s="16"/>
      <c r="K29" s="166">
        <f t="shared" si="2"/>
        <v>7046930</v>
      </c>
      <c r="L29" s="166">
        <f t="shared" si="3"/>
        <v>28634930</v>
      </c>
      <c r="M29" s="166">
        <f t="shared" si="4"/>
        <v>2863490</v>
      </c>
      <c r="N29" s="166">
        <f t="shared" si="5"/>
        <v>25771440</v>
      </c>
    </row>
    <row r="30" spans="1:14" ht="30" customHeight="1" x14ac:dyDescent="0.3">
      <c r="A30" s="14">
        <v>26</v>
      </c>
      <c r="B30" s="21" t="s">
        <v>158</v>
      </c>
      <c r="C30" s="186" t="s">
        <v>270</v>
      </c>
      <c r="D30" s="15">
        <v>9</v>
      </c>
      <c r="E30" s="16">
        <v>2165000</v>
      </c>
      <c r="F30" s="16">
        <f t="shared" si="0"/>
        <v>25980000</v>
      </c>
      <c r="G30" s="16">
        <f t="shared" si="1"/>
        <v>2598000</v>
      </c>
      <c r="H30" s="16"/>
      <c r="I30" s="16">
        <f t="shared" si="7"/>
        <v>5593770</v>
      </c>
      <c r="J30" s="16"/>
      <c r="K30" s="166">
        <f t="shared" si="2"/>
        <v>8191770</v>
      </c>
      <c r="L30" s="166">
        <f t="shared" si="3"/>
        <v>34171770</v>
      </c>
      <c r="M30" s="166">
        <f t="shared" si="4"/>
        <v>3417170</v>
      </c>
      <c r="N30" s="166">
        <f t="shared" si="5"/>
        <v>30754600</v>
      </c>
    </row>
    <row r="31" spans="1:14" ht="30" customHeight="1" x14ac:dyDescent="0.3">
      <c r="A31" s="14">
        <v>27</v>
      </c>
      <c r="B31" s="14" t="s">
        <v>185</v>
      </c>
      <c r="C31" s="187" t="s">
        <v>80</v>
      </c>
      <c r="D31" s="15">
        <v>7</v>
      </c>
      <c r="E31" s="16">
        <v>1025000</v>
      </c>
      <c r="F31" s="16">
        <f t="shared" si="0"/>
        <v>12300000</v>
      </c>
      <c r="G31" s="16">
        <f t="shared" si="1"/>
        <v>1230000</v>
      </c>
      <c r="H31" s="16">
        <f>60000*12</f>
        <v>720000</v>
      </c>
      <c r="I31" s="16">
        <f t="shared" si="7"/>
        <v>2648320</v>
      </c>
      <c r="J31" s="16"/>
      <c r="K31" s="166">
        <f t="shared" si="2"/>
        <v>4598320</v>
      </c>
      <c r="L31" s="166">
        <f t="shared" si="3"/>
        <v>16898320</v>
      </c>
      <c r="M31" s="166">
        <f t="shared" si="4"/>
        <v>1689830</v>
      </c>
      <c r="N31" s="166">
        <f t="shared" si="5"/>
        <v>15208490</v>
      </c>
    </row>
    <row r="32" spans="1:14" ht="30" customHeight="1" x14ac:dyDescent="0.3">
      <c r="A32" s="14">
        <v>28</v>
      </c>
      <c r="B32" s="14" t="s">
        <v>174</v>
      </c>
      <c r="C32" s="187" t="s">
        <v>115</v>
      </c>
      <c r="D32" s="15">
        <v>3</v>
      </c>
      <c r="E32" s="16">
        <v>871000</v>
      </c>
      <c r="F32" s="16">
        <f t="shared" si="0"/>
        <v>10452000</v>
      </c>
      <c r="G32" s="16">
        <f t="shared" si="1"/>
        <v>1045200</v>
      </c>
      <c r="H32" s="16"/>
      <c r="I32" s="16">
        <f t="shared" si="7"/>
        <v>2250430</v>
      </c>
      <c r="J32" s="16"/>
      <c r="K32" s="166">
        <f t="shared" si="2"/>
        <v>3295630</v>
      </c>
      <c r="L32" s="166">
        <f t="shared" si="3"/>
        <v>13747630</v>
      </c>
      <c r="M32" s="166">
        <f t="shared" si="4"/>
        <v>1374760</v>
      </c>
      <c r="N32" s="166">
        <f t="shared" si="5"/>
        <v>12372870</v>
      </c>
    </row>
    <row r="33" spans="1:14" ht="30" customHeight="1" x14ac:dyDescent="0.3">
      <c r="A33" s="14">
        <v>29</v>
      </c>
      <c r="B33" s="23" t="s">
        <v>92</v>
      </c>
      <c r="C33" s="187" t="s">
        <v>120</v>
      </c>
      <c r="D33" s="15">
        <v>5</v>
      </c>
      <c r="E33" s="16">
        <v>963000</v>
      </c>
      <c r="F33" s="16">
        <f t="shared" si="0"/>
        <v>11556000</v>
      </c>
      <c r="G33" s="16">
        <f t="shared" si="1"/>
        <v>1155600</v>
      </c>
      <c r="H33" s="16">
        <f>40000*12</f>
        <v>480000</v>
      </c>
      <c r="I33" s="16">
        <f>ROUNDDOWN(F33*1/209*1.5*8,-1)</f>
        <v>663500</v>
      </c>
      <c r="J33" s="16">
        <v>30000</v>
      </c>
      <c r="K33" s="166">
        <f t="shared" si="2"/>
        <v>2329100</v>
      </c>
      <c r="L33" s="166">
        <f t="shared" si="3"/>
        <v>13885100</v>
      </c>
      <c r="M33" s="166">
        <f t="shared" si="4"/>
        <v>1388510</v>
      </c>
      <c r="N33" s="166">
        <f t="shared" si="5"/>
        <v>12496590</v>
      </c>
    </row>
    <row r="34" spans="1:14" ht="19.5" customHeight="1" x14ac:dyDescent="0.3"/>
    <row r="35" spans="1:14" ht="19.5" customHeight="1" x14ac:dyDescent="0.3"/>
    <row r="36" spans="1:14" ht="19.5" customHeight="1" x14ac:dyDescent="0.3"/>
    <row r="37" spans="1:14" ht="19.5" customHeight="1" x14ac:dyDescent="0.3"/>
    <row r="38" spans="1:14" ht="19.5" customHeight="1" x14ac:dyDescent="0.3"/>
    <row r="39" spans="1:14" ht="19.5" customHeight="1" x14ac:dyDescent="0.3"/>
  </sheetData>
  <mergeCells count="3">
    <mergeCell ref="A4:D4"/>
    <mergeCell ref="A2:B2"/>
    <mergeCell ref="A1:N1"/>
  </mergeCells>
  <phoneticPr fontId="26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FD31"/>
  <sheetViews>
    <sheetView zoomScaleNormal="100" workbookViewId="0">
      <selection activeCell="E25" sqref="E25"/>
    </sheetView>
  </sheetViews>
  <sheetFormatPr defaultColWidth="8.875" defaultRowHeight="16.5" x14ac:dyDescent="0.3"/>
  <cols>
    <col min="1" max="1" width="19.75" style="35" bestFit="1" customWidth="1"/>
    <col min="2" max="2" width="17.625" style="68" customWidth="1"/>
    <col min="3" max="3" width="19.625" style="35" customWidth="1"/>
    <col min="4" max="4" width="37.5" style="35" bestFit="1" customWidth="1"/>
    <col min="5" max="233" width="10" style="35" customWidth="1"/>
    <col min="234" max="16375" width="9" style="27"/>
  </cols>
  <sheetData>
    <row r="1" spans="1:233 16376:16384" ht="24.75" customHeight="1" x14ac:dyDescent="0.3">
      <c r="A1" s="269" t="s">
        <v>2</v>
      </c>
      <c r="B1" s="269"/>
      <c r="C1" s="269"/>
      <c r="D1" s="269"/>
      <c r="E1" s="269"/>
    </row>
    <row r="2" spans="1:233 16376:16384" ht="18.75" x14ac:dyDescent="0.25">
      <c r="A2" s="31" t="s">
        <v>182</v>
      </c>
      <c r="B2" s="30"/>
      <c r="C2" s="29"/>
      <c r="D2" s="29"/>
      <c r="E2" s="83" t="s">
        <v>149</v>
      </c>
    </row>
    <row r="3" spans="1:233 16376:16384" ht="21.95" customHeight="1" x14ac:dyDescent="0.3">
      <c r="A3" s="80" t="s">
        <v>79</v>
      </c>
      <c r="B3" s="82" t="s">
        <v>144</v>
      </c>
      <c r="C3" s="80" t="s">
        <v>86</v>
      </c>
      <c r="D3" s="81" t="s">
        <v>176</v>
      </c>
      <c r="E3" s="80" t="s">
        <v>91</v>
      </c>
    </row>
    <row r="4" spans="1:233 16376:16384" ht="21.95" customHeight="1" x14ac:dyDescent="0.3">
      <c r="A4" s="72" t="s">
        <v>196</v>
      </c>
      <c r="B4" s="77" t="s">
        <v>38</v>
      </c>
      <c r="C4" s="76"/>
      <c r="D4" s="78" t="s">
        <v>244</v>
      </c>
      <c r="E4" s="270" t="s">
        <v>212</v>
      </c>
    </row>
    <row r="5" spans="1:233 16376:16384" ht="21.95" customHeight="1" x14ac:dyDescent="0.3">
      <c r="A5" s="72" t="s">
        <v>159</v>
      </c>
      <c r="B5" s="77" t="s">
        <v>254</v>
      </c>
      <c r="C5" s="76">
        <v>94926000</v>
      </c>
      <c r="D5" s="78" t="s">
        <v>256</v>
      </c>
      <c r="E5" s="271"/>
    </row>
    <row r="6" spans="1:233 16376:16384" ht="21.95" customHeight="1" x14ac:dyDescent="0.3">
      <c r="A6" s="72" t="s">
        <v>37</v>
      </c>
      <c r="B6" s="77" t="s">
        <v>24</v>
      </c>
      <c r="C6" s="76">
        <v>927550</v>
      </c>
      <c r="D6" s="73" t="s">
        <v>249</v>
      </c>
      <c r="E6" s="75"/>
    </row>
    <row r="7" spans="1:233 16376:16384" ht="21.95" customHeight="1" x14ac:dyDescent="0.3">
      <c r="A7" s="72" t="s">
        <v>152</v>
      </c>
      <c r="B7" s="77" t="s">
        <v>93</v>
      </c>
      <c r="C7" s="76">
        <v>604000</v>
      </c>
      <c r="D7" s="73"/>
      <c r="E7" s="75"/>
    </row>
    <row r="8" spans="1:233 16376:16384" ht="21.95" customHeight="1" x14ac:dyDescent="0.3">
      <c r="A8" s="275" t="s">
        <v>112</v>
      </c>
      <c r="B8" s="275"/>
      <c r="C8" s="74">
        <f>SUM(C4:C7)</f>
        <v>96457550</v>
      </c>
      <c r="D8" s="85"/>
      <c r="E8" s="84"/>
    </row>
    <row r="9" spans="1:233 16376:16384" ht="21.95" customHeight="1" x14ac:dyDescent="0.3">
      <c r="A9" s="176"/>
      <c r="B9" s="176"/>
      <c r="C9" s="178"/>
      <c r="D9" s="177"/>
      <c r="E9" s="177"/>
    </row>
    <row r="10" spans="1:233 16376:16384" ht="21.95" customHeight="1" x14ac:dyDescent="0.3">
      <c r="A10" s="269" t="s">
        <v>290</v>
      </c>
      <c r="B10" s="269"/>
      <c r="C10" s="269"/>
      <c r="D10" s="269"/>
      <c r="E10" s="269"/>
    </row>
    <row r="11" spans="1:233 16376:16384" ht="21.95" customHeight="1" x14ac:dyDescent="0.25">
      <c r="A11" s="31" t="s">
        <v>182</v>
      </c>
      <c r="B11" s="30"/>
      <c r="C11" s="29"/>
      <c r="D11" s="29"/>
      <c r="E11" s="83" t="s">
        <v>149</v>
      </c>
    </row>
    <row r="12" spans="1:233 16376:16384" ht="21.95" customHeight="1" x14ac:dyDescent="0.3">
      <c r="A12" s="80" t="s">
        <v>79</v>
      </c>
      <c r="B12" s="82" t="s">
        <v>144</v>
      </c>
      <c r="C12" s="80" t="s">
        <v>86</v>
      </c>
      <c r="D12" s="81" t="s">
        <v>176</v>
      </c>
      <c r="E12" s="80" t="s">
        <v>91</v>
      </c>
    </row>
    <row r="13" spans="1:233 16376:16384" ht="21.95" customHeight="1" x14ac:dyDescent="0.3">
      <c r="A13" s="72" t="s">
        <v>201</v>
      </c>
      <c r="B13" s="77" t="s">
        <v>42</v>
      </c>
      <c r="C13" s="76"/>
      <c r="D13" s="78" t="s">
        <v>246</v>
      </c>
      <c r="E13" s="75"/>
    </row>
    <row r="14" spans="1:233 16376:16384" s="27" customFormat="1" ht="21.95" customHeight="1" x14ac:dyDescent="0.3">
      <c r="A14" s="72" t="s">
        <v>188</v>
      </c>
      <c r="B14" s="77" t="s">
        <v>27</v>
      </c>
      <c r="C14" s="76">
        <v>2304000</v>
      </c>
      <c r="D14" s="79" t="s">
        <v>237</v>
      </c>
      <c r="E14" s="72" t="s">
        <v>108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XEV14"/>
      <c r="XEW14"/>
      <c r="XEX14"/>
      <c r="XEY14"/>
      <c r="XEZ14"/>
      <c r="XFA14"/>
      <c r="XFB14"/>
      <c r="XFC14"/>
      <c r="XFD14"/>
    </row>
    <row r="15" spans="1:233 16376:16384" ht="21.95" customHeight="1" x14ac:dyDescent="0.3">
      <c r="A15" s="72" t="s">
        <v>17</v>
      </c>
      <c r="B15" s="77" t="s">
        <v>31</v>
      </c>
      <c r="C15" s="76">
        <v>10476000</v>
      </c>
      <c r="D15" s="79" t="s">
        <v>235</v>
      </c>
      <c r="E15" s="72" t="s">
        <v>78</v>
      </c>
    </row>
    <row r="16" spans="1:233 16376:16384" s="27" customFormat="1" ht="21.95" customHeight="1" x14ac:dyDescent="0.3">
      <c r="A16" s="72" t="s">
        <v>163</v>
      </c>
      <c r="B16" s="77" t="s">
        <v>32</v>
      </c>
      <c r="C16" s="76">
        <v>1560000</v>
      </c>
      <c r="D16" s="78" t="s">
        <v>239</v>
      </c>
      <c r="E16" s="72" t="s">
        <v>264</v>
      </c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XEV16"/>
      <c r="XEW16"/>
      <c r="XEX16"/>
      <c r="XEY16"/>
      <c r="XEZ16"/>
      <c r="XFA16"/>
      <c r="XFB16"/>
      <c r="XFC16"/>
      <c r="XFD16"/>
    </row>
    <row r="17" spans="1:16384" s="27" customFormat="1" ht="21.95" customHeight="1" x14ac:dyDescent="0.3">
      <c r="A17" s="72" t="s">
        <v>84</v>
      </c>
      <c r="B17" s="77" t="s">
        <v>8</v>
      </c>
      <c r="C17" s="76">
        <v>1920000</v>
      </c>
      <c r="D17" s="78" t="s">
        <v>261</v>
      </c>
      <c r="E17" s="72" t="s">
        <v>263</v>
      </c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XEV17"/>
      <c r="XEW17"/>
      <c r="XEX17"/>
      <c r="XEY17"/>
      <c r="XEZ17"/>
      <c r="XFA17"/>
      <c r="XFB17"/>
      <c r="XFC17"/>
      <c r="XFD17"/>
    </row>
    <row r="18" spans="1:16384" ht="21.95" customHeight="1" x14ac:dyDescent="0.3">
      <c r="A18" s="72" t="s">
        <v>223</v>
      </c>
      <c r="B18" s="77" t="s">
        <v>29</v>
      </c>
      <c r="C18" s="76">
        <v>935000</v>
      </c>
      <c r="D18" s="79" t="s">
        <v>238</v>
      </c>
      <c r="E18" s="72" t="s">
        <v>267</v>
      </c>
    </row>
    <row r="19" spans="1:16384" ht="21.95" customHeight="1" x14ac:dyDescent="0.3">
      <c r="A19" s="72" t="s">
        <v>36</v>
      </c>
      <c r="B19" s="77" t="s">
        <v>10</v>
      </c>
      <c r="C19" s="76">
        <v>800000</v>
      </c>
      <c r="D19" s="73" t="s">
        <v>242</v>
      </c>
      <c r="E19" s="72" t="s">
        <v>268</v>
      </c>
    </row>
    <row r="20" spans="1:16384" s="27" customFormat="1" ht="21.95" customHeight="1" x14ac:dyDescent="0.3">
      <c r="A20" s="72" t="s">
        <v>41</v>
      </c>
      <c r="B20" s="77" t="s">
        <v>23</v>
      </c>
      <c r="C20" s="76">
        <v>3840000</v>
      </c>
      <c r="D20" s="73" t="s">
        <v>241</v>
      </c>
      <c r="E20" s="72" t="s">
        <v>269</v>
      </c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XEV20"/>
      <c r="XEW20"/>
      <c r="XEX20"/>
      <c r="XEY20"/>
      <c r="XEZ20"/>
      <c r="XFA20"/>
      <c r="XFB20"/>
      <c r="XFC20"/>
      <c r="XFD20"/>
    </row>
    <row r="21" spans="1:16384" s="27" customFormat="1" ht="21.95" customHeight="1" x14ac:dyDescent="0.3">
      <c r="A21" s="72" t="s">
        <v>194</v>
      </c>
      <c r="B21" s="77" t="s">
        <v>259</v>
      </c>
      <c r="C21" s="76">
        <v>4570000</v>
      </c>
      <c r="D21" s="73"/>
      <c r="E21" s="7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XEV21"/>
      <c r="XEW21"/>
      <c r="XEX21"/>
      <c r="XEY21"/>
      <c r="XEZ21"/>
      <c r="XFA21"/>
      <c r="XFB21"/>
      <c r="XFC21"/>
      <c r="XFD21"/>
    </row>
    <row r="22" spans="1:16384" ht="21.95" customHeight="1" x14ac:dyDescent="0.3">
      <c r="A22" s="72" t="s">
        <v>193</v>
      </c>
      <c r="B22" s="77" t="s">
        <v>9</v>
      </c>
      <c r="C22" s="76">
        <v>2000000</v>
      </c>
      <c r="D22" s="73"/>
      <c r="E22" s="75"/>
    </row>
    <row r="23" spans="1:16384" ht="21.95" customHeight="1" x14ac:dyDescent="0.3">
      <c r="A23" s="274" t="s">
        <v>112</v>
      </c>
      <c r="B23" s="274"/>
      <c r="C23" s="74">
        <f>SUM(C13:C22)</f>
        <v>28405000</v>
      </c>
      <c r="D23" s="73"/>
      <c r="E23" s="72"/>
    </row>
    <row r="24" spans="1:16384" s="33" customFormat="1" ht="21.95" customHeight="1" x14ac:dyDescent="0.3">
      <c r="A24" s="273" t="s">
        <v>81</v>
      </c>
      <c r="B24" s="273"/>
      <c r="C24" s="71">
        <f>C8+C23</f>
        <v>124862550</v>
      </c>
      <c r="D24" s="70"/>
      <c r="E24" s="69"/>
    </row>
    <row r="25" spans="1:16384" ht="21.95" customHeight="1" x14ac:dyDescent="0.3">
      <c r="A25" s="272" t="s">
        <v>260</v>
      </c>
      <c r="B25" s="272"/>
      <c r="C25" s="272"/>
    </row>
    <row r="26" spans="1:16384" ht="21.95" customHeight="1" x14ac:dyDescent="0.3">
      <c r="A26" s="266" t="s">
        <v>291</v>
      </c>
      <c r="B26" s="266"/>
      <c r="C26" s="266"/>
      <c r="D26" s="266"/>
      <c r="E26" s="26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</row>
    <row r="27" spans="1:16384" ht="21.95" customHeight="1" x14ac:dyDescent="0.25">
      <c r="A27" s="31" t="s">
        <v>182</v>
      </c>
      <c r="B27" s="30"/>
      <c r="C27" s="29"/>
      <c r="D27" s="29"/>
      <c r="E27" s="83" t="s">
        <v>149</v>
      </c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</row>
    <row r="28" spans="1:16384" ht="21.95" customHeight="1" x14ac:dyDescent="0.3">
      <c r="A28" s="199" t="s">
        <v>129</v>
      </c>
      <c r="B28" s="200" t="s">
        <v>44</v>
      </c>
      <c r="C28" s="201">
        <v>420800</v>
      </c>
      <c r="D28" s="202" t="s">
        <v>289</v>
      </c>
      <c r="E28" s="199" t="s">
        <v>108</v>
      </c>
    </row>
    <row r="29" spans="1:16384" ht="21.95" customHeight="1" x14ac:dyDescent="0.3">
      <c r="A29" s="199" t="s">
        <v>211</v>
      </c>
      <c r="B29" s="200" t="s">
        <v>43</v>
      </c>
      <c r="C29" s="201">
        <v>313600</v>
      </c>
      <c r="D29" s="202" t="s">
        <v>287</v>
      </c>
      <c r="E29" s="199" t="s">
        <v>108</v>
      </c>
    </row>
    <row r="30" spans="1:16384" ht="21.95" customHeight="1" x14ac:dyDescent="0.3">
      <c r="A30" s="199" t="s">
        <v>175</v>
      </c>
      <c r="B30" s="200" t="s">
        <v>43</v>
      </c>
      <c r="C30" s="201">
        <v>1881600</v>
      </c>
      <c r="D30" s="202" t="s">
        <v>288</v>
      </c>
      <c r="E30" s="199" t="s">
        <v>78</v>
      </c>
    </row>
    <row r="31" spans="1:16384" ht="21.95" customHeight="1" x14ac:dyDescent="0.3">
      <c r="A31" s="267" t="s">
        <v>292</v>
      </c>
      <c r="B31" s="268"/>
      <c r="C31" s="198">
        <f>SUM(C28:C30)</f>
        <v>2616000</v>
      </c>
      <c r="D31" s="197"/>
      <c r="E31" s="197"/>
    </row>
  </sheetData>
  <mergeCells count="9">
    <mergeCell ref="A26:E26"/>
    <mergeCell ref="A31:B31"/>
    <mergeCell ref="A1:E1"/>
    <mergeCell ref="E4:E5"/>
    <mergeCell ref="A25:C25"/>
    <mergeCell ref="A10:E10"/>
    <mergeCell ref="A24:B24"/>
    <mergeCell ref="A23:B23"/>
    <mergeCell ref="A8:B8"/>
  </mergeCells>
  <phoneticPr fontId="26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G3" sqref="G3"/>
    </sheetView>
  </sheetViews>
  <sheetFormatPr defaultColWidth="9" defaultRowHeight="13.5" x14ac:dyDescent="0.3"/>
  <cols>
    <col min="1" max="1" width="6.25" style="27" customWidth="1"/>
    <col min="2" max="2" width="15.5" style="35" customWidth="1"/>
    <col min="3" max="3" width="17.75" style="36" customWidth="1"/>
    <col min="4" max="4" width="13.625" style="36" customWidth="1"/>
    <col min="5" max="5" width="10" style="35" customWidth="1"/>
    <col min="6" max="6" width="5.25" style="35" bestFit="1" customWidth="1"/>
    <col min="7" max="7" width="16.875" style="35" customWidth="1"/>
    <col min="8" max="8" width="27.25" style="35" customWidth="1"/>
    <col min="9" max="9" width="11.75" style="35" customWidth="1"/>
    <col min="10" max="256" width="10" style="35" customWidth="1"/>
    <col min="257" max="16384" width="9" style="27"/>
  </cols>
  <sheetData>
    <row r="1" spans="2:9" ht="29.25" customHeight="1" x14ac:dyDescent="0.3">
      <c r="B1" s="276" t="s">
        <v>1</v>
      </c>
      <c r="C1" s="276"/>
      <c r="D1" s="276"/>
      <c r="E1" s="276"/>
      <c r="F1" s="276"/>
      <c r="G1" s="276"/>
      <c r="H1" s="276"/>
      <c r="I1" s="276"/>
    </row>
    <row r="2" spans="2:9" ht="27.75" customHeight="1" x14ac:dyDescent="0.3">
      <c r="B2" s="67" t="s">
        <v>182</v>
      </c>
      <c r="C2" s="27"/>
      <c r="D2" s="64"/>
      <c r="E2" s="66"/>
      <c r="F2" s="65"/>
      <c r="G2" s="64"/>
      <c r="H2" s="63"/>
      <c r="I2" s="62" t="s">
        <v>149</v>
      </c>
    </row>
    <row r="3" spans="2:9" ht="27" customHeight="1" x14ac:dyDescent="0.3">
      <c r="B3" s="283" t="s">
        <v>79</v>
      </c>
      <c r="C3" s="283"/>
      <c r="D3" s="59" t="s">
        <v>98</v>
      </c>
      <c r="E3" s="61" t="s">
        <v>164</v>
      </c>
      <c r="F3" s="60" t="s">
        <v>192</v>
      </c>
      <c r="G3" s="59" t="s">
        <v>86</v>
      </c>
      <c r="H3" s="58" t="s">
        <v>176</v>
      </c>
      <c r="I3" s="58" t="s">
        <v>91</v>
      </c>
    </row>
    <row r="4" spans="2:9" ht="27" customHeight="1" x14ac:dyDescent="0.3">
      <c r="B4" s="284" t="s">
        <v>250</v>
      </c>
      <c r="C4" s="56" t="s">
        <v>150</v>
      </c>
      <c r="D4" s="55">
        <v>197514</v>
      </c>
      <c r="E4" s="54" t="s">
        <v>107</v>
      </c>
      <c r="F4" s="53">
        <v>65</v>
      </c>
      <c r="G4" s="48">
        <f>D4*F4*12</f>
        <v>154060920</v>
      </c>
      <c r="H4" s="57" t="s">
        <v>271</v>
      </c>
      <c r="I4" s="281" t="s">
        <v>262</v>
      </c>
    </row>
    <row r="5" spans="2:9" ht="27" customHeight="1" x14ac:dyDescent="0.3">
      <c r="B5" s="285"/>
      <c r="C5" s="56" t="s">
        <v>111</v>
      </c>
      <c r="D5" s="55">
        <v>20356</v>
      </c>
      <c r="E5" s="54" t="s">
        <v>107</v>
      </c>
      <c r="F5" s="53">
        <v>65</v>
      </c>
      <c r="G5" s="48">
        <f>D5*F5*12</f>
        <v>15877680</v>
      </c>
      <c r="H5" s="57" t="s">
        <v>255</v>
      </c>
      <c r="I5" s="282"/>
    </row>
    <row r="6" spans="2:9" ht="27" customHeight="1" x14ac:dyDescent="0.3">
      <c r="B6" s="285"/>
      <c r="C6" s="56" t="s">
        <v>210</v>
      </c>
      <c r="D6" s="55">
        <v>1980</v>
      </c>
      <c r="E6" s="54" t="s">
        <v>107</v>
      </c>
      <c r="F6" s="53">
        <v>65</v>
      </c>
      <c r="G6" s="48">
        <f>D6*F6*12</f>
        <v>1544400</v>
      </c>
      <c r="H6" s="57" t="s">
        <v>245</v>
      </c>
      <c r="I6" s="282"/>
    </row>
    <row r="7" spans="2:9" ht="27" customHeight="1" x14ac:dyDescent="0.3">
      <c r="B7" s="279" t="s">
        <v>97</v>
      </c>
      <c r="C7" s="279"/>
      <c r="D7" s="143">
        <f>SUM(D4:D6)</f>
        <v>219850</v>
      </c>
      <c r="E7" s="45" t="s">
        <v>107</v>
      </c>
      <c r="F7" s="44"/>
      <c r="G7" s="43">
        <f>SUM(G4:G6)</f>
        <v>171483000</v>
      </c>
      <c r="H7" s="144" t="s">
        <v>240</v>
      </c>
      <c r="I7" s="282"/>
    </row>
    <row r="8" spans="2:9" ht="25.5" customHeight="1" x14ac:dyDescent="0.3">
      <c r="B8" s="277" t="s">
        <v>171</v>
      </c>
      <c r="C8" s="277"/>
      <c r="D8" s="188">
        <v>30782</v>
      </c>
      <c r="E8" s="50" t="s">
        <v>93</v>
      </c>
      <c r="F8" s="49">
        <v>65</v>
      </c>
      <c r="G8" s="48">
        <f>D8*F8</f>
        <v>2000830</v>
      </c>
      <c r="H8" s="47" t="s">
        <v>274</v>
      </c>
      <c r="I8" s="52"/>
    </row>
    <row r="9" spans="2:9" ht="25.5" customHeight="1" x14ac:dyDescent="0.3">
      <c r="B9" s="278" t="s">
        <v>35</v>
      </c>
      <c r="C9" s="278"/>
      <c r="D9" s="51">
        <v>35000</v>
      </c>
      <c r="E9" s="50" t="s">
        <v>95</v>
      </c>
      <c r="F9" s="49">
        <v>65</v>
      </c>
      <c r="G9" s="48">
        <f>D9*F9*2</f>
        <v>4550000</v>
      </c>
      <c r="H9" s="47" t="s">
        <v>273</v>
      </c>
      <c r="I9" s="41"/>
    </row>
    <row r="10" spans="2:9" ht="26.25" customHeight="1" x14ac:dyDescent="0.3">
      <c r="B10" s="279" t="s">
        <v>97</v>
      </c>
      <c r="C10" s="279"/>
      <c r="D10" s="46"/>
      <c r="E10" s="45"/>
      <c r="F10" s="44"/>
      <c r="G10" s="43">
        <f>SUM(G8:G9)</f>
        <v>6550830</v>
      </c>
      <c r="H10" s="42"/>
      <c r="I10" s="41"/>
    </row>
    <row r="11" spans="2:9" ht="26.25" customHeight="1" x14ac:dyDescent="0.15">
      <c r="B11" s="280" t="s">
        <v>209</v>
      </c>
      <c r="C11" s="280"/>
      <c r="D11" s="280"/>
      <c r="E11" s="280"/>
      <c r="F11" s="280"/>
      <c r="G11" s="40">
        <f>G7+G10</f>
        <v>178033830</v>
      </c>
      <c r="H11" s="39"/>
      <c r="I11" s="38"/>
    </row>
    <row r="12" spans="2:9" ht="30" customHeight="1" x14ac:dyDescent="0.3">
      <c r="B12" s="272" t="s">
        <v>257</v>
      </c>
      <c r="C12" s="272"/>
      <c r="D12" s="272"/>
      <c r="E12" s="272"/>
      <c r="F12" s="272"/>
      <c r="G12" s="272"/>
      <c r="H12" s="272"/>
      <c r="I12" s="272"/>
    </row>
    <row r="15" spans="2:9" x14ac:dyDescent="0.3">
      <c r="G15" s="37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26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zoomScaleNormal="100" workbookViewId="0">
      <selection activeCell="J11" sqref="J11"/>
    </sheetView>
  </sheetViews>
  <sheetFormatPr defaultColWidth="8.875" defaultRowHeight="16.5" x14ac:dyDescent="0.3"/>
  <sheetData/>
  <phoneticPr fontId="26" type="noConversion"/>
  <pageMargins left="0.74805557727813721" right="0.74805557727813721" top="0.98430556058883667" bottom="0.98430556058883667" header="0.51138889789581299" footer="0.51138889789581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Sheet11</vt:lpstr>
      <vt:lpstr>세출부!Consolidate_Area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97</cp:revision>
  <cp:lastPrinted>2016-06-28T07:07:50Z</cp:lastPrinted>
  <dcterms:created xsi:type="dcterms:W3CDTF">2013-12-12T01:03:00Z</dcterms:created>
  <dcterms:modified xsi:type="dcterms:W3CDTF">2016-06-28T07:09:29Z</dcterms:modified>
</cp:coreProperties>
</file>