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210" activeTab="1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운영비" sheetId="6" r:id="rId6"/>
    <sheet name="생계비" sheetId="7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4525"/>
</workbook>
</file>

<file path=xl/calcChain.xml><?xml version="1.0" encoding="utf-8"?>
<calcChain xmlns="http://schemas.openxmlformats.org/spreadsheetml/2006/main">
  <c r="G9" i="2" l="1"/>
  <c r="G10" i="2"/>
  <c r="G14" i="2"/>
  <c r="G15" i="2"/>
  <c r="G17" i="2"/>
  <c r="G20" i="2"/>
  <c r="G27" i="2"/>
  <c r="G28" i="2"/>
  <c r="G29" i="2"/>
  <c r="G32" i="2"/>
  <c r="G34" i="2"/>
  <c r="G36" i="2"/>
  <c r="G40" i="2"/>
  <c r="G45" i="2"/>
  <c r="G48" i="2"/>
  <c r="G52" i="2"/>
  <c r="G53" i="2"/>
  <c r="G54" i="2"/>
  <c r="G58" i="2"/>
  <c r="G59" i="2"/>
  <c r="G60" i="2"/>
  <c r="G6" i="2"/>
  <c r="E6" i="1"/>
  <c r="G11" i="1"/>
  <c r="G12" i="1"/>
  <c r="G13" i="1"/>
  <c r="G14" i="1"/>
  <c r="G15" i="1"/>
  <c r="G20" i="1"/>
  <c r="G21" i="1"/>
  <c r="G22" i="1"/>
  <c r="G23" i="1"/>
  <c r="G24" i="1"/>
  <c r="G25" i="1"/>
  <c r="G26" i="1"/>
  <c r="G6" i="1"/>
  <c r="D59" i="2" l="1"/>
  <c r="D58" i="2" s="1"/>
  <c r="D56" i="2"/>
  <c r="D55" i="2" s="1"/>
  <c r="D45" i="2"/>
  <c r="D36" i="2"/>
  <c r="D30" i="2"/>
  <c r="D29" i="2" s="1"/>
  <c r="D25" i="2"/>
  <c r="D24" i="2"/>
  <c r="D17" i="2"/>
  <c r="D14" i="2"/>
  <c r="D8" i="2"/>
  <c r="D7" i="2" s="1"/>
  <c r="D6" i="2" s="1"/>
  <c r="D24" i="1"/>
  <c r="D23" i="1"/>
  <c r="D21" i="1"/>
  <c r="D20" i="1"/>
  <c r="D17" i="1"/>
  <c r="D16" i="1" s="1"/>
  <c r="D13" i="1"/>
  <c r="D12" i="1"/>
  <c r="D8" i="1"/>
  <c r="D7" i="1" s="1"/>
  <c r="D6" i="1" s="1"/>
  <c r="E59" i="2" l="1"/>
  <c r="N20" i="4" l="1"/>
  <c r="G20" i="3"/>
  <c r="E14" i="2" l="1"/>
  <c r="E20" i="1" l="1"/>
  <c r="K8" i="3" l="1"/>
  <c r="J17" i="3"/>
  <c r="J16" i="3"/>
  <c r="J14" i="3"/>
  <c r="J10" i="3"/>
  <c r="J8" i="3"/>
  <c r="J7" i="3"/>
  <c r="J6" i="3"/>
  <c r="I8" i="3"/>
  <c r="G17" i="3"/>
  <c r="G16" i="3"/>
  <c r="G15" i="3"/>
  <c r="G14" i="3"/>
  <c r="G13" i="3"/>
  <c r="G12" i="3"/>
  <c r="G11" i="3"/>
  <c r="G10" i="3"/>
  <c r="G9" i="3"/>
  <c r="G8" i="3"/>
  <c r="G7" i="3"/>
  <c r="G6" i="3"/>
  <c r="F17" i="3"/>
  <c r="F16" i="3"/>
  <c r="F15" i="3"/>
  <c r="F14" i="3"/>
  <c r="F13" i="3"/>
  <c r="F12" i="3"/>
  <c r="F11" i="3"/>
  <c r="F10" i="3"/>
  <c r="F9" i="3"/>
  <c r="F8" i="3"/>
  <c r="F7" i="3"/>
  <c r="F6" i="3"/>
  <c r="G7" i="5"/>
  <c r="J18" i="4"/>
  <c r="J17" i="4"/>
  <c r="J15" i="4"/>
  <c r="J11" i="4"/>
  <c r="J9" i="4"/>
  <c r="J8" i="4"/>
  <c r="J7" i="4"/>
  <c r="F18" i="4"/>
  <c r="F17" i="4"/>
  <c r="F16" i="4"/>
  <c r="F15" i="4"/>
  <c r="F14" i="4"/>
  <c r="F13" i="4"/>
  <c r="F12" i="4"/>
  <c r="F11" i="4"/>
  <c r="F10" i="4"/>
  <c r="F9" i="4"/>
  <c r="F8" i="4"/>
  <c r="F7" i="4"/>
  <c r="F15" i="5"/>
  <c r="I15" i="5" s="1"/>
  <c r="J15" i="5" s="1"/>
  <c r="G15" i="5"/>
  <c r="H16" i="5"/>
  <c r="H15" i="5"/>
  <c r="H13" i="5"/>
  <c r="H7" i="5"/>
  <c r="H6" i="5"/>
  <c r="F7" i="5"/>
  <c r="I7" i="5" s="1"/>
  <c r="J7" i="5" l="1"/>
  <c r="K7" i="5" s="1"/>
  <c r="K15" i="5"/>
  <c r="L15" i="5" l="1"/>
  <c r="M15" i="5" s="1"/>
  <c r="L7" i="5"/>
  <c r="M7" i="5" s="1"/>
  <c r="E21" i="1" l="1"/>
  <c r="H9" i="5" l="1"/>
  <c r="H5" i="5"/>
  <c r="E45" i="2" l="1"/>
  <c r="G10" i="7" l="1"/>
  <c r="D7" i="7"/>
  <c r="G7" i="7"/>
  <c r="C25" i="6"/>
  <c r="C8" i="6"/>
  <c r="G16" i="5"/>
  <c r="F16" i="5"/>
  <c r="G14" i="5"/>
  <c r="F14" i="5"/>
  <c r="I14" i="5" s="1"/>
  <c r="G13" i="5"/>
  <c r="F13" i="5"/>
  <c r="I13" i="5" s="1"/>
  <c r="G12" i="5"/>
  <c r="F12" i="5"/>
  <c r="I12" i="5" s="1"/>
  <c r="G11" i="5"/>
  <c r="F11" i="5"/>
  <c r="I11" i="5" s="1"/>
  <c r="J11" i="5" s="1"/>
  <c r="G10" i="5"/>
  <c r="F10" i="5"/>
  <c r="I10" i="5" s="1"/>
  <c r="G9" i="5"/>
  <c r="F9" i="5"/>
  <c r="I9" i="5" s="1"/>
  <c r="G8" i="5"/>
  <c r="F8" i="5"/>
  <c r="I8" i="5" s="1"/>
  <c r="G6" i="5"/>
  <c r="F6" i="5"/>
  <c r="I6" i="5" s="1"/>
  <c r="H4" i="5"/>
  <c r="G5" i="5"/>
  <c r="J5" i="5" s="1"/>
  <c r="F5" i="5"/>
  <c r="E4" i="5"/>
  <c r="G18" i="4"/>
  <c r="G17" i="4"/>
  <c r="G16" i="4"/>
  <c r="I16" i="4"/>
  <c r="G15" i="4"/>
  <c r="I15" i="4"/>
  <c r="G14" i="4"/>
  <c r="G13" i="4"/>
  <c r="I13" i="4"/>
  <c r="G12" i="4"/>
  <c r="G11" i="4"/>
  <c r="I11" i="4"/>
  <c r="G10" i="4"/>
  <c r="I10" i="4"/>
  <c r="G9" i="4"/>
  <c r="G8" i="4"/>
  <c r="G7" i="4"/>
  <c r="J6" i="4"/>
  <c r="H6" i="4"/>
  <c r="E6" i="4"/>
  <c r="L17" i="3"/>
  <c r="P17" i="3" s="1"/>
  <c r="L16" i="3"/>
  <c r="P16" i="3" s="1"/>
  <c r="L15" i="3"/>
  <c r="P15" i="3" s="1"/>
  <c r="I15" i="3"/>
  <c r="L14" i="3"/>
  <c r="P14" i="3" s="1"/>
  <c r="I14" i="3"/>
  <c r="L13" i="3"/>
  <c r="P13" i="3" s="1"/>
  <c r="L12" i="3"/>
  <c r="Q12" i="3" s="1"/>
  <c r="I12" i="3"/>
  <c r="L11" i="3"/>
  <c r="P11" i="3" s="1"/>
  <c r="L10" i="3"/>
  <c r="P10" i="3" s="1"/>
  <c r="L9" i="3"/>
  <c r="Q9" i="3" s="1"/>
  <c r="L7" i="3"/>
  <c r="Q7" i="3" s="1"/>
  <c r="L6" i="3"/>
  <c r="P6" i="3" s="1"/>
  <c r="P5" i="3" s="1"/>
  <c r="J5" i="3"/>
  <c r="H5" i="3"/>
  <c r="E5" i="3"/>
  <c r="E58" i="2"/>
  <c r="E56" i="2"/>
  <c r="E36" i="2"/>
  <c r="E30" i="2"/>
  <c r="E25" i="2"/>
  <c r="E24" i="2"/>
  <c r="E17" i="2"/>
  <c r="E8" i="2"/>
  <c r="E24" i="1"/>
  <c r="E23" i="1"/>
  <c r="E17" i="1"/>
  <c r="E13" i="1"/>
  <c r="E12" i="1"/>
  <c r="E8" i="1"/>
  <c r="E16" i="1" l="1"/>
  <c r="M10" i="3"/>
  <c r="N10" i="3" s="1"/>
  <c r="Q10" i="3"/>
  <c r="M6" i="3"/>
  <c r="S6" i="3" s="1"/>
  <c r="O15" i="3"/>
  <c r="O6" i="3"/>
  <c r="O5" i="3" s="1"/>
  <c r="O10" i="3"/>
  <c r="M14" i="3"/>
  <c r="S14" i="3" s="1"/>
  <c r="U14" i="3" s="1"/>
  <c r="Q15" i="3"/>
  <c r="M17" i="3"/>
  <c r="S17" i="3" s="1"/>
  <c r="U17" i="3" s="1"/>
  <c r="L5" i="3"/>
  <c r="Q6" i="3"/>
  <c r="Q5" i="3" s="1"/>
  <c r="O14" i="3"/>
  <c r="O17" i="3"/>
  <c r="S10" i="3"/>
  <c r="U10" i="3" s="1"/>
  <c r="Q14" i="3"/>
  <c r="M15" i="3"/>
  <c r="Q17" i="3"/>
  <c r="K5" i="5"/>
  <c r="J8" i="5"/>
  <c r="J9" i="5"/>
  <c r="E55" i="2"/>
  <c r="G6" i="4"/>
  <c r="J12" i="5"/>
  <c r="K12" i="5" s="1"/>
  <c r="J14" i="5"/>
  <c r="K14" i="5" s="1"/>
  <c r="I16" i="5"/>
  <c r="J16" i="5" s="1"/>
  <c r="K16" i="5" s="1"/>
  <c r="F6" i="4"/>
  <c r="K7" i="4"/>
  <c r="R7" i="4" s="1"/>
  <c r="K13" i="4"/>
  <c r="R13" i="4" s="1"/>
  <c r="K10" i="4"/>
  <c r="L10" i="4" s="1"/>
  <c r="K11" i="4"/>
  <c r="R11" i="4" s="1"/>
  <c r="I17" i="4"/>
  <c r="K17" i="4" s="1"/>
  <c r="I18" i="4"/>
  <c r="K18" i="4" s="1"/>
  <c r="I12" i="4"/>
  <c r="K12" i="4" s="1"/>
  <c r="I17" i="3"/>
  <c r="K17" i="3" s="1"/>
  <c r="R17" i="3" s="1"/>
  <c r="K15" i="3"/>
  <c r="R15" i="3" s="1"/>
  <c r="K14" i="3"/>
  <c r="R14" i="3" s="1"/>
  <c r="K12" i="3"/>
  <c r="R12" i="3" s="1"/>
  <c r="I9" i="3"/>
  <c r="K9" i="3" s="1"/>
  <c r="R9" i="3" s="1"/>
  <c r="I7" i="3"/>
  <c r="K7" i="3" s="1"/>
  <c r="R7" i="3" s="1"/>
  <c r="G5" i="3"/>
  <c r="K6" i="3"/>
  <c r="R6" i="3" s="1"/>
  <c r="C26" i="6"/>
  <c r="G11" i="7"/>
  <c r="E29" i="2"/>
  <c r="E7" i="2"/>
  <c r="T17" i="3"/>
  <c r="T14" i="3"/>
  <c r="U6" i="3"/>
  <c r="U5" i="3" s="1"/>
  <c r="S5" i="3"/>
  <c r="T6" i="3"/>
  <c r="T5" i="3" s="1"/>
  <c r="N6" i="3"/>
  <c r="N5" i="3" s="1"/>
  <c r="O7" i="3"/>
  <c r="O9" i="3"/>
  <c r="T10" i="3"/>
  <c r="I11" i="3"/>
  <c r="K11" i="3" s="1"/>
  <c r="R11" i="3" s="1"/>
  <c r="M11" i="3"/>
  <c r="Q11" i="3"/>
  <c r="O12" i="3"/>
  <c r="M13" i="3"/>
  <c r="Q13" i="3"/>
  <c r="N14" i="3"/>
  <c r="I16" i="3"/>
  <c r="K16" i="3" s="1"/>
  <c r="R16" i="3" s="1"/>
  <c r="M16" i="3"/>
  <c r="Q16" i="3"/>
  <c r="N17" i="3"/>
  <c r="R10" i="4"/>
  <c r="L11" i="4"/>
  <c r="M5" i="3"/>
  <c r="P7" i="3"/>
  <c r="P9" i="3"/>
  <c r="I10" i="3"/>
  <c r="K10" i="3" s="1"/>
  <c r="R10" i="3" s="1"/>
  <c r="P12" i="3"/>
  <c r="I13" i="3"/>
  <c r="K13" i="3" s="1"/>
  <c r="R13" i="3" s="1"/>
  <c r="E7" i="1"/>
  <c r="F5" i="3"/>
  <c r="M7" i="3"/>
  <c r="M9" i="3"/>
  <c r="O11" i="3"/>
  <c r="M12" i="3"/>
  <c r="O13" i="3"/>
  <c r="O16" i="3"/>
  <c r="F4" i="5"/>
  <c r="K11" i="5"/>
  <c r="I8" i="4"/>
  <c r="K8" i="4" s="1"/>
  <c r="I9" i="4"/>
  <c r="K9" i="4" s="1"/>
  <c r="I14" i="4"/>
  <c r="K14" i="4" s="1"/>
  <c r="G4" i="5"/>
  <c r="J6" i="5"/>
  <c r="K6" i="5" s="1"/>
  <c r="K8" i="5"/>
  <c r="J10" i="5"/>
  <c r="K10" i="5" s="1"/>
  <c r="K15" i="4"/>
  <c r="K16" i="4"/>
  <c r="K9" i="5"/>
  <c r="J13" i="5"/>
  <c r="K13" i="5" s="1"/>
  <c r="E6" i="2" l="1"/>
  <c r="N15" i="3"/>
  <c r="S15" i="3"/>
  <c r="L13" i="4"/>
  <c r="O13" i="4" s="1"/>
  <c r="I4" i="5"/>
  <c r="L14" i="5"/>
  <c r="M14" i="5" s="1"/>
  <c r="L5" i="5"/>
  <c r="M5" i="5" s="1"/>
  <c r="L7" i="4"/>
  <c r="O7" i="4" s="1"/>
  <c r="L16" i="5"/>
  <c r="M16" i="5" s="1"/>
  <c r="L18" i="4"/>
  <c r="Q18" i="4" s="1"/>
  <c r="R18" i="4"/>
  <c r="R12" i="4"/>
  <c r="L12" i="4"/>
  <c r="O12" i="4" s="1"/>
  <c r="L17" i="4"/>
  <c r="R17" i="4"/>
  <c r="I5" i="3"/>
  <c r="L8" i="4"/>
  <c r="R8" i="4"/>
  <c r="K6" i="4"/>
  <c r="R9" i="4"/>
  <c r="L9" i="4"/>
  <c r="L13" i="5"/>
  <c r="M13" i="5" s="1"/>
  <c r="L10" i="5"/>
  <c r="M10" i="5" s="1"/>
  <c r="L6" i="5"/>
  <c r="M6" i="5" s="1"/>
  <c r="J4" i="5"/>
  <c r="R15" i="4"/>
  <c r="L15" i="4"/>
  <c r="R14" i="4"/>
  <c r="L14" i="4"/>
  <c r="I6" i="4"/>
  <c r="N12" i="3"/>
  <c r="S12" i="3"/>
  <c r="N7" i="3"/>
  <c r="S7" i="3"/>
  <c r="Q11" i="4"/>
  <c r="M11" i="4"/>
  <c r="P11" i="4"/>
  <c r="O11" i="4"/>
  <c r="S16" i="3"/>
  <c r="N16" i="3"/>
  <c r="S11" i="3"/>
  <c r="N11" i="3"/>
  <c r="R5" i="3"/>
  <c r="L9" i="5"/>
  <c r="M9" i="5" s="1"/>
  <c r="L8" i="5"/>
  <c r="M8" i="5" s="1"/>
  <c r="S13" i="3"/>
  <c r="N13" i="3"/>
  <c r="L16" i="4"/>
  <c r="R16" i="4"/>
  <c r="L12" i="5"/>
  <c r="M12" i="5" s="1"/>
  <c r="L11" i="5"/>
  <c r="M11" i="5" s="1"/>
  <c r="Q7" i="4"/>
  <c r="M7" i="4"/>
  <c r="P7" i="4"/>
  <c r="P13" i="4"/>
  <c r="M13" i="4"/>
  <c r="Q13" i="4"/>
  <c r="N9" i="3"/>
  <c r="S9" i="3"/>
  <c r="Q10" i="4"/>
  <c r="M10" i="4"/>
  <c r="P10" i="4"/>
  <c r="O10" i="4"/>
  <c r="U15" i="3" l="1"/>
  <c r="T15" i="3"/>
  <c r="P12" i="4"/>
  <c r="O18" i="4"/>
  <c r="K5" i="3"/>
  <c r="L6" i="4"/>
  <c r="M18" i="4"/>
  <c r="N18" i="4" s="1"/>
  <c r="P18" i="4"/>
  <c r="M12" i="4"/>
  <c r="N12" i="4" s="1"/>
  <c r="Q12" i="4"/>
  <c r="Q17" i="4"/>
  <c r="O17" i="4"/>
  <c r="M17" i="4"/>
  <c r="N17" i="4" s="1"/>
  <c r="P17" i="4"/>
  <c r="N10" i="4"/>
  <c r="S10" i="4" s="1"/>
  <c r="U9" i="3"/>
  <c r="T9" i="3"/>
  <c r="N7" i="4"/>
  <c r="S7" i="4" s="1"/>
  <c r="Q16" i="4"/>
  <c r="M16" i="4"/>
  <c r="P16" i="4"/>
  <c r="O16" i="4"/>
  <c r="T16" i="3"/>
  <c r="U16" i="3"/>
  <c r="O14" i="4"/>
  <c r="Q14" i="4"/>
  <c r="P14" i="4"/>
  <c r="M14" i="4"/>
  <c r="Q15" i="4"/>
  <c r="M15" i="4"/>
  <c r="P15" i="4"/>
  <c r="O15" i="4"/>
  <c r="L4" i="5"/>
  <c r="K4" i="5"/>
  <c r="U12" i="3"/>
  <c r="T12" i="3"/>
  <c r="O9" i="4"/>
  <c r="Q9" i="4"/>
  <c r="M9" i="4"/>
  <c r="P9" i="4"/>
  <c r="P8" i="4"/>
  <c r="O8" i="4"/>
  <c r="Q8" i="4"/>
  <c r="M8" i="4"/>
  <c r="T11" i="3"/>
  <c r="U11" i="3"/>
  <c r="R6" i="4"/>
  <c r="N13" i="4"/>
  <c r="S13" i="4" s="1"/>
  <c r="T13" i="3"/>
  <c r="U13" i="3"/>
  <c r="N11" i="4"/>
  <c r="S11" i="4" s="1"/>
  <c r="U7" i="3"/>
  <c r="T7" i="3"/>
  <c r="S18" i="4" l="1"/>
  <c r="O6" i="4"/>
  <c r="S12" i="4"/>
  <c r="Q6" i="4"/>
  <c r="S17" i="4"/>
  <c r="P6" i="4"/>
  <c r="M6" i="4"/>
  <c r="N15" i="4"/>
  <c r="S15" i="4" s="1"/>
  <c r="N14" i="4"/>
  <c r="S14" i="4" s="1"/>
  <c r="M4" i="5"/>
  <c r="N8" i="4"/>
  <c r="S8" i="4" s="1"/>
  <c r="N16" i="4"/>
  <c r="S16" i="4" s="1"/>
  <c r="N9" i="4"/>
  <c r="S9" i="4" s="1"/>
  <c r="N6" i="4" l="1"/>
  <c r="S6" i="4"/>
</calcChain>
</file>

<file path=xl/sharedStrings.xml><?xml version="1.0" encoding="utf-8"?>
<sst xmlns="http://schemas.openxmlformats.org/spreadsheetml/2006/main" count="397" uniqueCount="292">
  <si>
    <t>생 계 비
-생계비
-춘계부식/김장비
-월동대책비
-특별위로비</t>
  </si>
  <si>
    <t>주부식비
1식
2,177원
2,177*91식
월 1인당
198,023</t>
  </si>
  <si>
    <t>수용기관경비
-수용기관경비
-아동용돈
-하계수련비</t>
  </si>
  <si>
    <t>교통안전,재난대비,약물오남용
실종예방,성폭력예방</t>
  </si>
  <si>
    <t>주부식비통합
-피복비
-취사연료 포함</t>
  </si>
  <si>
    <t>퇴직금및
퇴직적립금</t>
  </si>
  <si>
    <t>정서지원
프로그램</t>
  </si>
  <si>
    <t>의무교육
프로그램</t>
  </si>
  <si>
    <t>문화체험
사업비</t>
  </si>
  <si>
    <t>프로그램
사업비</t>
  </si>
  <si>
    <t>비        교</t>
  </si>
  <si>
    <t>비         교</t>
  </si>
  <si>
    <t>합      계</t>
  </si>
  <si>
    <t>사 용 자 부 담</t>
  </si>
  <si>
    <t>바우처
프로그램</t>
  </si>
  <si>
    <t>기타예금
이자수입</t>
  </si>
  <si>
    <t>(단위 : 천원)</t>
  </si>
  <si>
    <t>산  출  기  초</t>
  </si>
  <si>
    <t>아동개인결연
프로그램</t>
  </si>
  <si>
    <t>사회보험
부담비용</t>
  </si>
  <si>
    <t>법인전입금
(후원금)</t>
  </si>
  <si>
    <t>학습보조비(중등)</t>
  </si>
  <si>
    <t>80,000/년1인당</t>
  </si>
  <si>
    <t>아동용돈(초등)</t>
  </si>
  <si>
    <t>89,237/월</t>
  </si>
  <si>
    <t>22,500/월1인당</t>
  </si>
  <si>
    <t>수용비및
수수료</t>
  </si>
  <si>
    <t>학습보조비(초등)</t>
  </si>
  <si>
    <t>춘계부식비/월동김장비</t>
  </si>
  <si>
    <t>121,700/월</t>
  </si>
  <si>
    <t>85,000/년1인당</t>
  </si>
  <si>
    <t>국민연금
(4.5%)</t>
  </si>
  <si>
    <t>24,000/월1인당</t>
  </si>
  <si>
    <t>24,000/년1인당</t>
  </si>
  <si>
    <t>산재보험
(0.7%)</t>
  </si>
  <si>
    <t>고용보험
(0.9%)</t>
  </si>
  <si>
    <t>14,270/년1인당</t>
  </si>
  <si>
    <t>특별위로비(설,추석)</t>
  </si>
  <si>
    <t>이월금</t>
  </si>
  <si>
    <t>교통비</t>
  </si>
  <si>
    <t>교육비</t>
  </si>
  <si>
    <t>잡지출</t>
  </si>
  <si>
    <t>전입금</t>
  </si>
  <si>
    <t>시설비</t>
  </si>
  <si>
    <t>목</t>
  </si>
  <si>
    <t>감</t>
  </si>
  <si>
    <t>잡수입</t>
  </si>
  <si>
    <t>사무비</t>
  </si>
  <si>
    <t>피복비</t>
  </si>
  <si>
    <t>지원금</t>
  </si>
  <si>
    <t>운영비</t>
  </si>
  <si>
    <t>증</t>
  </si>
  <si>
    <t>예비비</t>
  </si>
  <si>
    <t>소계</t>
  </si>
  <si>
    <t>인건비</t>
  </si>
  <si>
    <t>사업비</t>
  </si>
  <si>
    <t>공제액</t>
  </si>
  <si>
    <t>기준액</t>
  </si>
  <si>
    <t>김영순</t>
  </si>
  <si>
    <t>총급여</t>
  </si>
  <si>
    <t>연2회</t>
  </si>
  <si>
    <t>사무원</t>
  </si>
  <si>
    <t>관</t>
  </si>
  <si>
    <t>시간</t>
  </si>
  <si>
    <t>기본급</t>
  </si>
  <si>
    <t>윤기영</t>
  </si>
  <si>
    <t xml:space="preserve">항 </t>
  </si>
  <si>
    <t>계</t>
  </si>
  <si>
    <t>구 분</t>
  </si>
  <si>
    <t>합계</t>
  </si>
  <si>
    <t>윤지희</t>
  </si>
  <si>
    <t>급여계</t>
  </si>
  <si>
    <t>호봉</t>
  </si>
  <si>
    <t>성명</t>
  </si>
  <si>
    <t>직책</t>
  </si>
  <si>
    <t>월</t>
  </si>
  <si>
    <t>예산액</t>
  </si>
  <si>
    <t>합 계</t>
  </si>
  <si>
    <t>NO</t>
  </si>
  <si>
    <t>소 계</t>
  </si>
  <si>
    <t>연1회</t>
  </si>
  <si>
    <t>김문정</t>
  </si>
  <si>
    <t>김희련</t>
  </si>
  <si>
    <t>비 고</t>
  </si>
  <si>
    <t>성애원</t>
  </si>
  <si>
    <t>강명수</t>
  </si>
  <si>
    <t>3세미만 명*22,500원*12월</t>
  </si>
  <si>
    <t>여    비</t>
  </si>
  <si>
    <t>시도보조금</t>
  </si>
  <si>
    <t>연 료 비</t>
  </si>
  <si>
    <t>학용품비</t>
  </si>
  <si>
    <t>비지정후원금</t>
  </si>
  <si>
    <t xml:space="preserve">예 산 액 </t>
  </si>
  <si>
    <t>과     목</t>
  </si>
  <si>
    <t>(단위:천원)</t>
  </si>
  <si>
    <t>합    계</t>
  </si>
  <si>
    <t>전년도이월금</t>
  </si>
  <si>
    <t>예 산 액</t>
  </si>
  <si>
    <t>급    여</t>
  </si>
  <si>
    <t>학습지원비</t>
  </si>
  <si>
    <t>수학여행비</t>
  </si>
  <si>
    <t>기타운영비</t>
  </si>
  <si>
    <t>기타후생경비</t>
  </si>
  <si>
    <t>치료재활사업비</t>
  </si>
  <si>
    <t>기타잡수입</t>
  </si>
  <si>
    <t>법인전입금</t>
  </si>
  <si>
    <t>산 출 기 초</t>
  </si>
  <si>
    <t>지정후원금</t>
  </si>
  <si>
    <t>차 량 비</t>
  </si>
  <si>
    <t>시설장비유지비</t>
  </si>
  <si>
    <t>공공요금</t>
  </si>
  <si>
    <t>교 통 비</t>
  </si>
  <si>
    <t>제세공과금</t>
  </si>
  <si>
    <t>세 입 부</t>
  </si>
  <si>
    <t>보조금수입</t>
  </si>
  <si>
    <t>업무추진비</t>
  </si>
  <si>
    <t>국고보조금</t>
  </si>
  <si>
    <t>세 출 부</t>
  </si>
  <si>
    <t>도서구입비</t>
  </si>
  <si>
    <t>제 수 당</t>
  </si>
  <si>
    <t>이미용비</t>
  </si>
  <si>
    <t>피 복 비</t>
  </si>
  <si>
    <t>재산조성비</t>
  </si>
  <si>
    <t>(단위:원)</t>
  </si>
  <si>
    <t>회 의 비</t>
  </si>
  <si>
    <t>의 료 비</t>
  </si>
  <si>
    <t>후원금수입</t>
  </si>
  <si>
    <t>자산취득비</t>
  </si>
  <si>
    <t>기타교육비</t>
  </si>
  <si>
    <t>기관운영비</t>
  </si>
  <si>
    <t>행사지원비</t>
  </si>
  <si>
    <t>기타보조금</t>
  </si>
  <si>
    <t>표준보수월액</t>
  </si>
  <si>
    <t>생활지도원7</t>
  </si>
  <si>
    <t>자립전담요원</t>
  </si>
  <si>
    <t>생활지도원1</t>
  </si>
  <si>
    <t>생활지도원2</t>
  </si>
  <si>
    <t>생활지도원8</t>
  </si>
  <si>
    <t>생활지도원4</t>
  </si>
  <si>
    <t>아동용돈(중)</t>
  </si>
  <si>
    <t>하계수련비</t>
  </si>
  <si>
    <t>영아위생대</t>
  </si>
  <si>
    <t>장기
요양보험</t>
  </si>
  <si>
    <t>환경개선비</t>
  </si>
  <si>
    <t>시간외수당</t>
  </si>
  <si>
    <t>퇴직적립금</t>
  </si>
  <si>
    <t>산재보험</t>
  </si>
  <si>
    <t>3세이상</t>
  </si>
  <si>
    <t>차감지급액</t>
  </si>
  <si>
    <t>명절휴가비</t>
  </si>
  <si>
    <t>지급회수</t>
  </si>
  <si>
    <t>국민연금</t>
  </si>
  <si>
    <t>합  계</t>
  </si>
  <si>
    <t>제수당계</t>
  </si>
  <si>
    <t>고용보험</t>
  </si>
  <si>
    <t>안전관리비</t>
  </si>
  <si>
    <t>성 애 원</t>
  </si>
  <si>
    <t>취사연료비</t>
  </si>
  <si>
    <t>기본급계</t>
  </si>
  <si>
    <t>가족수당</t>
  </si>
  <si>
    <t>계(C)</t>
  </si>
  <si>
    <t>예상
인원</t>
  </si>
  <si>
    <t>건강보험</t>
  </si>
  <si>
    <t>명절위로비</t>
  </si>
  <si>
    <t>지급기준</t>
  </si>
  <si>
    <t>월동대책비</t>
  </si>
  <si>
    <t>산출내역</t>
  </si>
  <si>
    <t>원  장</t>
  </si>
  <si>
    <t>3세미만</t>
  </si>
  <si>
    <t>주부식비</t>
  </si>
  <si>
    <t>생활지도원6</t>
  </si>
  <si>
    <t>표준보수액</t>
  </si>
  <si>
    <t>교 복 비</t>
  </si>
  <si>
    <t>4,570,000/3년마다</t>
  </si>
  <si>
    <t>명*89,237원*12월</t>
  </si>
  <si>
    <t>2,000,000/년1회</t>
  </si>
  <si>
    <t>퇴직적립금
(A/12)</t>
  </si>
  <si>
    <t>100,000/년1인당</t>
  </si>
  <si>
    <t>1,600/일1인당,240일</t>
  </si>
  <si>
    <t>건강보험
(3.06%)</t>
  </si>
  <si>
    <t>장기
요양보험
(6.55%)</t>
  </si>
  <si>
    <t>예체능
프로그램</t>
    <phoneticPr fontId="19" type="noConversion"/>
  </si>
  <si>
    <t>2018년 종사자 사회보험 산출내역</t>
    <phoneticPr fontId="19" type="noConversion"/>
  </si>
  <si>
    <t>2018년 성애원(시설) 경상보조금 관리운영비 산출내역(국시비)</t>
    <phoneticPr fontId="19" type="noConversion"/>
  </si>
  <si>
    <t>2018년 성애원(시설) 관리운영비 산출내역(시비)</t>
    <phoneticPr fontId="19" type="noConversion"/>
  </si>
  <si>
    <t>18,000/월1인당</t>
    <phoneticPr fontId="19" type="noConversion"/>
  </si>
  <si>
    <t>전년도 준함</t>
    <phoneticPr fontId="19" type="noConversion"/>
  </si>
  <si>
    <t>한재범</t>
    <phoneticPr fontId="19" type="noConversion"/>
  </si>
  <si>
    <t>박지혜</t>
    <phoneticPr fontId="19" type="noConversion"/>
  </si>
  <si>
    <t>권선정</t>
    <phoneticPr fontId="19" type="noConversion"/>
  </si>
  <si>
    <t>노미아</t>
    <phoneticPr fontId="19" type="noConversion"/>
  </si>
  <si>
    <t>조숙</t>
    <phoneticPr fontId="19" type="noConversion"/>
  </si>
  <si>
    <t>김희현</t>
    <phoneticPr fontId="19" type="noConversion"/>
  </si>
  <si>
    <t>권미정</t>
    <phoneticPr fontId="19" type="noConversion"/>
  </si>
  <si>
    <t>현명길</t>
    <phoneticPr fontId="19" type="noConversion"/>
  </si>
  <si>
    <t>2018년 종사자 인건비 산출내역</t>
    <phoneticPr fontId="19" type="noConversion"/>
  </si>
  <si>
    <t>* 2017년도 기초생활보장 지침 중 시설생계급여 등 지원기준</t>
    <phoneticPr fontId="19" type="noConversion"/>
  </si>
  <si>
    <t>연찬회 : 137,930*3인=413,790
사생대회 : 21,317.5*10인=213,715</t>
    <phoneticPr fontId="19" type="noConversion"/>
  </si>
  <si>
    <t>퇴직연금수수료</t>
    <phoneticPr fontId="19" type="noConversion"/>
  </si>
  <si>
    <t>행동개선프로그램    30,000*10명=  300,000
치료프로그램         70,000*5명=  350,000
기타정서지원프로그램 71,600원*10명=716,000 
계                              1,366,000</t>
    <phoneticPr fontId="19" type="noConversion"/>
  </si>
  <si>
    <t>30명*121,700원*12월=43,812,000원</t>
    <phoneticPr fontId="19" type="noConversion"/>
  </si>
  <si>
    <t>30명기준</t>
    <phoneticPr fontId="19" type="noConversion"/>
  </si>
  <si>
    <t>30명*14,270원*년1회=428,100</t>
    <phoneticPr fontId="19" type="noConversion"/>
  </si>
  <si>
    <t>아동용돈(고)</t>
    <phoneticPr fontId="19" type="noConversion"/>
  </si>
  <si>
    <t>36,000/월1인당</t>
    <phoneticPr fontId="19" type="noConversion"/>
  </si>
  <si>
    <t>고등학생4명*36,000원*12월=1,728,000</t>
  </si>
  <si>
    <t>4명</t>
    <phoneticPr fontId="19" type="noConversion"/>
  </si>
  <si>
    <t>15명</t>
    <phoneticPr fontId="19" type="noConversion"/>
  </si>
  <si>
    <t>중학생15명*24,000원*12월=4,320,000원</t>
    <phoneticPr fontId="19" type="noConversion"/>
  </si>
  <si>
    <t>11명</t>
    <phoneticPr fontId="19" type="noConversion"/>
  </si>
  <si>
    <t>초등학생 11명*18,000원*12월=2,376,000원</t>
    <phoneticPr fontId="19" type="noConversion"/>
  </si>
  <si>
    <t>3세이상 30명*24,000원*년1회=720,000</t>
    <phoneticPr fontId="19" type="noConversion"/>
  </si>
  <si>
    <t>30명</t>
    <phoneticPr fontId="19" type="noConversion"/>
  </si>
  <si>
    <t>8명</t>
    <phoneticPr fontId="19" type="noConversion"/>
  </si>
  <si>
    <t>8명*1,600원*240일=3,074,000원</t>
    <phoneticPr fontId="19" type="noConversion"/>
  </si>
  <si>
    <t>초등6학년 5명*85,000원*년1회=510,000
중2학년   4명*120,000원=480,000</t>
    <phoneticPr fontId="19" type="noConversion"/>
  </si>
  <si>
    <t>9명</t>
    <phoneticPr fontId="19" type="noConversion"/>
  </si>
  <si>
    <t>학습보조비(고등)</t>
    <phoneticPr fontId="19" type="noConversion"/>
  </si>
  <si>
    <t>120,000/년1인당</t>
    <phoneticPr fontId="19" type="noConversion"/>
  </si>
  <si>
    <t>고등학생4명*120,000원*년1회=480,000원</t>
    <phoneticPr fontId="19" type="noConversion"/>
  </si>
  <si>
    <t>중학생 15명*100,000원*년1회=1,500,000원</t>
    <phoneticPr fontId="19" type="noConversion"/>
  </si>
  <si>
    <t>초등학생 11명*80,000원*년1회=880,000원</t>
    <phoneticPr fontId="19" type="noConversion"/>
  </si>
  <si>
    <t>198,023*30명*12개월=71,288,280</t>
    <phoneticPr fontId="19" type="noConversion"/>
  </si>
  <si>
    <t>20,130*30명*12개월=7,246,800</t>
    <phoneticPr fontId="19" type="noConversion"/>
  </si>
  <si>
    <t>2,240*30명*12개월=806,400</t>
    <phoneticPr fontId="19" type="noConversion"/>
  </si>
  <si>
    <t>220,393*30명*12개월=166,617,108</t>
    <phoneticPr fontId="19" type="noConversion"/>
  </si>
  <si>
    <t>30,855원*30명*1회=925,650</t>
    <phoneticPr fontId="19" type="noConversion"/>
  </si>
  <si>
    <t>35,400원*30명*2회=2,124,000</t>
    <phoneticPr fontId="19" type="noConversion"/>
  </si>
  <si>
    <t>2019년 임직원 보수일람표</t>
    <phoneticPr fontId="19" type="noConversion"/>
  </si>
  <si>
    <t>사무원</t>
    <phoneticPr fontId="19" type="noConversion"/>
  </si>
  <si>
    <t>최연아</t>
    <phoneticPr fontId="19" type="noConversion"/>
  </si>
  <si>
    <t>조유미</t>
    <phoneticPr fontId="19" type="noConversion"/>
  </si>
  <si>
    <t>생활지도원</t>
    <phoneticPr fontId="19" type="noConversion"/>
  </si>
  <si>
    <t>손소영</t>
    <phoneticPr fontId="19" type="noConversion"/>
  </si>
  <si>
    <t>김도윤</t>
    <phoneticPr fontId="19" type="noConversion"/>
  </si>
  <si>
    <t>조리원</t>
    <phoneticPr fontId="19" type="noConversion"/>
  </si>
  <si>
    <t>이명숙</t>
    <phoneticPr fontId="19" type="noConversion"/>
  </si>
  <si>
    <t>김***</t>
    <phoneticPr fontId="19" type="noConversion"/>
  </si>
  <si>
    <t>조리원</t>
    <phoneticPr fontId="19" type="noConversion"/>
  </si>
  <si>
    <t>생활지도원3</t>
  </si>
  <si>
    <t>생활지도원5</t>
  </si>
  <si>
    <t>예비비</t>
    <phoneticPr fontId="19" type="noConversion"/>
  </si>
  <si>
    <t>후원금 각종비품구입
300,000*12월=3,600,000원</t>
    <phoneticPr fontId="19" type="noConversion"/>
  </si>
  <si>
    <t>중학생학용품비 15명*27,050*년2회=811,500
학용품구입 3,000*30명*12월=    1,080,000
계                            1,891,500</t>
    <phoneticPr fontId="19" type="noConversion"/>
  </si>
  <si>
    <t>중학생부교재비 중15명*41,200*년1회=618,000
초등부교재비 15명*41,200*년1회=    618,000
학습보조비  중15명*100,000*년1회=1,500,000
           초15명*80,000*년1회= 1,200,000
기타도서구입비   100,000*4분기=   400,000
계                              4,336,000</t>
    <phoneticPr fontId="19" type="noConversion"/>
  </si>
  <si>
    <t>중1,2,3학년 1,600*240일*15명=5,760,000
교통비         20,000*15명=    300,000
계                           6,060,000</t>
    <phoneticPr fontId="19" type="noConversion"/>
  </si>
  <si>
    <t>초등 수학여행비  85,000*5명=    425,000
중등 수학여행비 120,000*4명 =   480,000
중등 수련회비    50,000*15명*1회=750,000
계                              1,655,000</t>
    <phoneticPr fontId="19" type="noConversion"/>
  </si>
  <si>
    <t>피복비 20,130*30명*12월 = 7,246,800
후원금 20,000*30명*12월 = 7,200,000
계                       14,446,800</t>
    <phoneticPr fontId="19" type="noConversion"/>
  </si>
  <si>
    <t>교복비 300,000*15명*2회= 6,600,000</t>
    <phoneticPr fontId="19" type="noConversion"/>
  </si>
  <si>
    <t>연합회행사지원비             628,000
어린이날행사비 30명*10,000원=300,000
성탄파티       30명*10,000원=300,000
계                         1,280,000</t>
    <phoneticPr fontId="19" type="noConversion"/>
  </si>
  <si>
    <t>건물유지비용  1,000,000*12월=12,000,000
전기안전관리비 88,000*12월=1,056,000                   소방안전관리비 143,000*12월=1,716,000
승강기안전관리비 99,000*12월=1,188,000  
장비유지비용 500,000*12월= 6,000,000
기타                      10,000,000
계                        31,960,000</t>
    <phoneticPr fontId="19" type="noConversion"/>
  </si>
  <si>
    <t>기관홍보용 달력제작 3,300*200부=660,000
기관홍보용 선물제작 5,000*150개=600,000
기타 운영경비                  400,000
계                          1,660,000</t>
    <phoneticPr fontId="19" type="noConversion"/>
  </si>
  <si>
    <t>취사연료비   2,240*30명*12월=  806,400
종사자급식비 1,000*12명*12월=  144,000
후원금,이자                    350,000
심야전기     1,000,000*12월=  12,000,000
계                          13,300,400</t>
    <phoneticPr fontId="19" type="noConversion"/>
  </si>
  <si>
    <t>아동 30명*5,662*12월= 2,038,320
생일파티 30명*55,000= 1,650,000
인솔자프로그램사업비 17,000*8*12=1,632,000
계                  6,952,320</t>
    <phoneticPr fontId="19" type="noConversion"/>
  </si>
  <si>
    <t>문화체험비 30명*14,000*12월=5,040,000</t>
    <phoneticPr fontId="19" type="noConversion"/>
  </si>
  <si>
    <t>바우처지원비 월300,000*12월=3,600,000</t>
    <phoneticPr fontId="19" type="noConversion"/>
  </si>
  <si>
    <t>차량유류대     500,000*12월= 6,000,000
차량정비유지비 200,000*12월= 2,400,000
차량소모품비   200,000*12월= 2,400,000
계                          10,800,000</t>
    <phoneticPr fontId="19" type="noConversion"/>
  </si>
  <si>
    <t>아동이미용비      월210,000*12월=2,520,000
아동목욕비      30명*7,000*12월= 2,520,000
계                              5,040,000</t>
    <phoneticPr fontId="19" type="noConversion"/>
  </si>
  <si>
    <t>학습재료 등 31,809*63명= 2,004,000</t>
    <phoneticPr fontId="19" type="noConversion"/>
  </si>
  <si>
    <t>명절선물구입 12명*10,000*2회=   240,000
직원워크샵   12명*15,000*1회=   180,000
공로패제작    2명*66,000    =   132,000
포상선물비    2명*50,000    =   100,000
퇴직연금수수료(전입금)         1,200,000
계                           1,852,000</t>
    <phoneticPr fontId="19" type="noConversion"/>
  </si>
  <si>
    <t>시설운영위원회의비 100,000*4분기= 400,000
사례회의비        20,000원*12월=  240,000
후원자간담회비    30,000원*4분기= 120,000
계                               760,000</t>
    <phoneticPr fontId="19" type="noConversion"/>
  </si>
  <si>
    <t xml:space="preserve">2019년 성애원(시설) 경상보조금 생계비(국시비) 산출내역 </t>
    <phoneticPr fontId="19" type="noConversion"/>
  </si>
  <si>
    <t xml:space="preserve">직원교육비  84,000*12명=1,000,000
직원출장비 100,000*12월=1,200,000
시설장 세미나비           500,000
사무국장 세미나비         400,000
계                     3,100,000 </t>
    <phoneticPr fontId="19" type="noConversion"/>
  </si>
  <si>
    <t>본예산</t>
    <phoneticPr fontId="19" type="noConversion"/>
  </si>
  <si>
    <t>본 예산 대비 2.23% 감액</t>
    <phoneticPr fontId="19" type="noConversion"/>
  </si>
  <si>
    <t>국민건강보험 36,000,000
장기요양보험  3,000,000
국민연금보험 24,000,000
산재보험      3,600,000
고용보험      4,200,000
계          51,000,000</t>
    <phoneticPr fontId="19" type="noConversion"/>
  </si>
  <si>
    <t>명절휴가비   39,519,660
시간외수당   61,328,590
가족수당      8,880,000
계          109,728,250</t>
    <phoneticPr fontId="19" type="noConversion"/>
  </si>
  <si>
    <t>퇴직금및퇴직적립금 51,000,000</t>
    <phoneticPr fontId="19" type="noConversion"/>
  </si>
  <si>
    <t>기본급     400,272,000</t>
    <phoneticPr fontId="19" type="noConversion"/>
  </si>
  <si>
    <t>인건비     631,800,000
생계비      91,100,000
운영비      43,812,000
교육급여     4,070,000
계         770,782,000</t>
    <phoneticPr fontId="19" type="noConversion"/>
  </si>
  <si>
    <t>아동용돈       8,712,000
하계수련비       720,000
교통비         6,000,000   
수학여행비       990,000
학습보조비      2,860,000
안전관리비      2,000,000
시설환경개선비  3,858,000
계            24,600,000</t>
    <phoneticPr fontId="19" type="noConversion"/>
  </si>
  <si>
    <t>시설비     10,000,000(건물유지보수)
시설환경개선비 3,858,000</t>
    <phoneticPr fontId="19" type="noConversion"/>
  </si>
  <si>
    <t>아동급식비  234,610*30명*12개월=84,459,600
종사자급식비 8명*100,000원*12월= 9,600,000
종사자급식비 4명*50,000원*12월 = 2,400,000
실습생급식비  5명*30,000*2회=       300,000
춘계부식,김장비14,270원*30명*1회=   428,100
월동대책비     30,855*30명*1회=    925,650
특별위로비     36,300*30명*2회=   2,178,000
후원금                           8,127,000
계                             108,418,350</t>
    <phoneticPr fontId="19" type="noConversion"/>
  </si>
  <si>
    <t xml:space="preserve">2019년도 성애원(시설) 제1차 추경 세입 세출예산(안) </t>
    <phoneticPr fontId="19" type="noConversion"/>
  </si>
  <si>
    <t>1차 추경</t>
    <phoneticPr fontId="19" type="noConversion"/>
  </si>
  <si>
    <t xml:space="preserve">예산액 </t>
    <phoneticPr fontId="19" type="noConversion"/>
  </si>
  <si>
    <t>지정후원금     1,974,648
비지정후원금 113,566,809</t>
    <phoneticPr fontId="19" type="noConversion"/>
  </si>
  <si>
    <t>개인결연(개인결연후원,어린이재단)
아동연합회 경유 지정후원금(CDA)
지역사회 지정후원금</t>
    <phoneticPr fontId="19" type="noConversion"/>
  </si>
  <si>
    <t>법인 후원금</t>
    <phoneticPr fontId="19" type="noConversion"/>
  </si>
  <si>
    <t xml:space="preserve">종사자급식비(생활지도원)
8명*100,000*12월              = 9,600,000
종사자급식비(사무실)4명*50,000원  =200,000
실습생급식비 5*30,000*2회         =300,000
관사부담금   150,000*7월       =1,050,000
실습비      5명*70,000*2회        =700,000
기타                              100,000
계                             11,950,000    </t>
    <phoneticPr fontId="19" type="noConversion"/>
  </si>
  <si>
    <t>본예산 대비 3.2% 감액</t>
    <phoneticPr fontId="19" type="noConversion"/>
  </si>
  <si>
    <t>피아노      150,000*12월= 1,800,000
태권도      300,000*12월= 3,600,000
합기도      250,000*12월= 3,000,000
계                        8,400,000</t>
    <phoneticPr fontId="19" type="noConversion"/>
  </si>
  <si>
    <t>신원보증보험        15,000*2명= 30,000
상해보험(아동+종사자+여행자)    200,000
화재보험                       300,000
자동차보험(스타렉스3164)      1,000,000
자동차보험(스타렉스8394)        800,000
자동차보험(모닝9214)            600,000
자동차보험(스파크6742)          600,000
자동차보험(모닝 9782)           600,000
영업배상책임보험                600,000
자동차세                       600,000
환경개선부담금                1,000,000
아동연합회비700,000*4분기     2,800,000
계                           9,130,000</t>
    <phoneticPr fontId="19" type="noConversion"/>
  </si>
  <si>
    <t>사무용품비     500,000*12월= 6,000,000
인쇄비         200,000* 4월= 800,000
집기구입비     100,000* 6월= 600,000
공고료         100,000*12월= 1,200,000
수수료         100,000*12월= 1,200,000
등기료         100,000*12월= 1,200,000
운송비         100,000*12월= 1,200,000
통행료         50,000*12월= 600,000
주차료         100,000*12월= 1,200,000
A/S비          100,000*12월= 1,200,000
신문대금         30,000*12월= 360,000
사무기기임대료  297,000*12월= 3,564,000
프린트 렌탈료   118,800*12월= 1,425,000 
정수기 렌탈료   150,000*12월= 1,800,000
기타                         1,000,000
계                          23,349,000</t>
    <phoneticPr fontId="19" type="noConversion"/>
  </si>
  <si>
    <t>개인결연금 30명 30,000,000</t>
    <phoneticPr fontId="19" type="noConversion"/>
  </si>
  <si>
    <t>진료비 및 약제비    100,000*12월=1,200,000
입원비              500,000*2명=1,000,000
약품구입            25,000*12월=  300,000
장애아동진단비      150,000*5명=   750,000
CT 및 MRI 촬영                    600,000
안경수선및제작비 50,000*4명*12월=2,400,000 
계                             6,250,000</t>
    <phoneticPr fontId="19" type="noConversion"/>
  </si>
  <si>
    <t>후원자 감사패      66,000원*2개=   132,000
후원자 감사선물  500,000원*2회=  1,000,000
기타 기관운영비                    586,000
  계                            1,718,000</t>
    <phoneticPr fontId="19" type="noConversion"/>
  </si>
  <si>
    <t>전화요금         150,000*12월=  1,800,000
전기요금       1,000,000*12월= 12,000,000
상하수도요금      500,000*12월= 6,000,000
인터넷및키폰요금 150,000*12월=  1,800,000
TV사용료        150,000*12월=  1,800,000
우편요금         30,000*12월=    360,000
쓰레기봉투구입    50,000*12월=   600,000
납부필증         100,000*12월= 1,200,000
계                           25,560,000</t>
    <phoneticPr fontId="19" type="noConversion"/>
  </si>
  <si>
    <t>아동필요용품 8,000*30명*12월=   2,880,000
아동용돈 30명기준               8,712,000
중학생용돈(후원금)26,000*15명*12월=4,680,000
하계수련비        24,000*30명=    720,000                            
계                            16,992,000</t>
    <phoneticPr fontId="19" type="noConversion"/>
  </si>
  <si>
    <t xml:space="preserve">씽크빅         400,000*12월= 4,800,000
</t>
    <phoneticPr fontId="19" type="noConversion"/>
  </si>
  <si>
    <t>치료기관 직접 지원으로 사업내용변경
진단검사비 300,000*1명 = 300,000</t>
    <phoneticPr fontId="19" type="noConversion"/>
  </si>
  <si>
    <t xml:space="preserve">2019년도 성애원(시설) 제1차 추경 세입 세출예산(안)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</si>
</sst>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2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sz val="11"/>
      <color rgb="FFFF0000"/>
      <name val="바탕체"/>
      <family val="1"/>
      <charset val="129"/>
    </font>
    <font>
      <b/>
      <sz val="16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8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18" fillId="0" borderId="0">
      <alignment vertical="center"/>
    </xf>
  </cellStyleXfs>
  <cellXfs count="298">
    <xf numFmtId="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4" fillId="3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" xfId="1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1" applyNumberFormat="1" applyFont="1" applyBorder="1">
      <alignment vertical="center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4" fillId="0" borderId="1" xfId="1" applyNumberFormat="1" applyFont="1" applyFill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0" xfId="1" applyNumberFormat="1" applyFont="1">
      <alignment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3" applyNumberFormat="1">
      <alignment vertical="center"/>
    </xf>
    <xf numFmtId="0" fontId="6" fillId="2" borderId="0" xfId="4" applyNumberFormat="1" applyFont="1" applyFill="1" applyAlignment="1">
      <alignment horizontal="center"/>
    </xf>
    <xf numFmtId="41" fontId="6" fillId="2" borderId="0" xfId="5" applyNumberFormat="1" applyFont="1" applyFill="1" applyAlignment="1">
      <alignment horizontal="center"/>
    </xf>
    <xf numFmtId="0" fontId="7" fillId="2" borderId="0" xfId="4" applyNumberFormat="1" applyFont="1" applyFill="1" applyAlignment="1">
      <alignment horizontal="left" vertical="center"/>
    </xf>
    <xf numFmtId="0" fontId="8" fillId="0" borderId="0" xfId="3" applyNumberFormat="1" applyFont="1" applyFill="1">
      <alignment vertical="center"/>
    </xf>
    <xf numFmtId="0" fontId="8" fillId="2" borderId="0" xfId="3" applyNumberFormat="1" applyFont="1" applyFill="1">
      <alignment vertical="center"/>
    </xf>
    <xf numFmtId="0" fontId="5" fillId="2" borderId="0" xfId="3" applyNumberFormat="1" applyFont="1" applyFill="1">
      <alignment vertical="center"/>
    </xf>
    <xf numFmtId="41" fontId="8" fillId="2" borderId="0" xfId="3" applyNumberFormat="1" applyFont="1" applyFill="1">
      <alignment vertical="center"/>
    </xf>
    <xf numFmtId="0" fontId="8" fillId="2" borderId="1" xfId="2" applyNumberFormat="1" applyFont="1" applyFill="1" applyBorder="1" applyAlignment="1" applyProtection="1"/>
    <xf numFmtId="0" fontId="8" fillId="4" borderId="1" xfId="2" applyNumberFormat="1" applyFont="1" applyFill="1" applyBorder="1" applyAlignment="1" applyProtection="1">
      <alignment horizontal="right"/>
    </xf>
    <xf numFmtId="0" fontId="8" fillId="2" borderId="1" xfId="2" applyNumberFormat="1" applyFont="1" applyFill="1" applyBorder="1" applyAlignment="1" applyProtection="1">
      <alignment vertical="center"/>
    </xf>
    <xf numFmtId="177" fontId="8" fillId="5" borderId="1" xfId="2" applyNumberFormat="1" applyFont="1" applyFill="1" applyBorder="1" applyAlignment="1" applyProtection="1">
      <alignment horizontal="right" vertical="center"/>
    </xf>
    <xf numFmtId="0" fontId="9" fillId="5" borderId="1" xfId="2" applyNumberFormat="1" applyFont="1" applyFill="1" applyBorder="1" applyAlignment="1" applyProtection="1">
      <alignment horizontal="center" vertical="center"/>
    </xf>
    <xf numFmtId="41" fontId="9" fillId="5" borderId="1" xfId="5" applyNumberFormat="1" applyFont="1" applyFill="1" applyBorder="1" applyAlignment="1" applyProtection="1">
      <alignment horizontal="center" vertical="center"/>
    </xf>
    <xf numFmtId="41" fontId="7" fillId="5" borderId="1" xfId="2" applyNumberFormat="1" applyFont="1" applyFill="1" applyBorder="1" applyAlignment="1" applyProtection="1">
      <alignment horizontal="center" vertical="center"/>
    </xf>
    <xf numFmtId="0" fontId="9" fillId="2" borderId="1" xfId="2" applyNumberFormat="1" applyFont="1" applyFill="1" applyBorder="1" applyAlignment="1" applyProtection="1">
      <alignment horizontal="center" vertical="center"/>
    </xf>
    <xf numFmtId="41" fontId="9" fillId="2" borderId="1" xfId="5" applyNumberFormat="1" applyFont="1" applyFill="1" applyBorder="1" applyAlignment="1" applyProtection="1">
      <alignment horizontal="center" vertical="center"/>
    </xf>
    <xf numFmtId="0" fontId="8" fillId="2" borderId="1" xfId="2" applyNumberFormat="1" applyFont="1" applyFill="1" applyBorder="1" applyAlignment="1" applyProtection="1">
      <alignment horizontal="center" vertical="center"/>
    </xf>
    <xf numFmtId="0" fontId="9" fillId="0" borderId="1" xfId="2" applyNumberFormat="1" applyFont="1" applyFill="1" applyBorder="1" applyAlignment="1" applyProtection="1">
      <alignment horizontal="center" vertical="center"/>
    </xf>
    <xf numFmtId="41" fontId="9" fillId="0" borderId="1" xfId="5" applyNumberFormat="1" applyFont="1" applyFill="1" applyBorder="1" applyAlignment="1" applyProtection="1">
      <alignment horizontal="center" vertical="center"/>
    </xf>
    <xf numFmtId="0" fontId="7" fillId="0" borderId="1" xfId="2" applyNumberFormat="1" applyFont="1" applyFill="1" applyBorder="1" applyAlignment="1" applyProtection="1">
      <alignment horizontal="right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</xf>
    <xf numFmtId="0" fontId="11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 wrapText="1"/>
    </xf>
    <xf numFmtId="41" fontId="7" fillId="6" borderId="1" xfId="5" applyNumberFormat="1" applyFont="1" applyFill="1" applyBorder="1" applyAlignment="1" applyProtection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left" vertical="center"/>
    </xf>
    <xf numFmtId="0" fontId="5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center" vertical="center"/>
    </xf>
    <xf numFmtId="41" fontId="8" fillId="2" borderId="2" xfId="5" applyNumberFormat="1" applyFont="1" applyFill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left" vertical="center"/>
    </xf>
    <xf numFmtId="41" fontId="8" fillId="2" borderId="0" xfId="5" applyNumberFormat="1" applyFont="1" applyFill="1">
      <alignment vertical="center"/>
    </xf>
    <xf numFmtId="0" fontId="7" fillId="0" borderId="1" xfId="3" applyNumberFormat="1" applyFont="1" applyFill="1" applyBorder="1">
      <alignment vertical="center"/>
    </xf>
    <xf numFmtId="0" fontId="7" fillId="0" borderId="1" xfId="3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vertical="center"/>
    </xf>
    <xf numFmtId="41" fontId="7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0" fontId="9" fillId="2" borderId="1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left" vertical="center" wrapText="1"/>
    </xf>
    <xf numFmtId="0" fontId="7" fillId="6" borderId="1" xfId="4" applyNumberFormat="1" applyFont="1" applyFill="1" applyBorder="1" applyAlignment="1">
      <alignment horizontal="center" vertical="center"/>
    </xf>
    <xf numFmtId="0" fontId="7" fillId="6" borderId="3" xfId="4" applyNumberFormat="1" applyFont="1" applyFill="1" applyBorder="1" applyAlignment="1">
      <alignment horizontal="center" vertical="center"/>
    </xf>
    <xf numFmtId="41" fontId="7" fillId="6" borderId="1" xfId="5" applyNumberFormat="1" applyFont="1" applyFill="1" applyBorder="1" applyAlignment="1">
      <alignment horizontal="center" vertical="center"/>
    </xf>
    <xf numFmtId="0" fontId="5" fillId="0" borderId="0" xfId="3" applyNumberFormat="1" applyFont="1" applyAlignment="1">
      <alignment horizontal="right" vertical="center"/>
    </xf>
    <xf numFmtId="0" fontId="9" fillId="0" borderId="1" xfId="4" applyNumberFormat="1" applyFont="1" applyFill="1" applyBorder="1" applyAlignment="1">
      <alignment horizontal="center" vertical="center"/>
    </xf>
    <xf numFmtId="0" fontId="9" fillId="0" borderId="3" xfId="4" applyNumberFormat="1" applyFont="1" applyFill="1" applyBorder="1" applyAlignment="1">
      <alignment horizontal="center" vertical="center"/>
    </xf>
    <xf numFmtId="0" fontId="10" fillId="5" borderId="1" xfId="2" applyNumberFormat="1" applyFont="1" applyFill="1" applyBorder="1" applyAlignment="1" applyProtection="1">
      <alignment horizontal="left" vertical="center" wrapText="1"/>
    </xf>
    <xf numFmtId="176" fontId="4" fillId="2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2" borderId="1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right" vertical="center"/>
    </xf>
    <xf numFmtId="41" fontId="10" fillId="0" borderId="0" xfId="5" applyNumberFormat="1" applyFont="1" applyFill="1" applyAlignment="1">
      <alignment horizontal="right"/>
    </xf>
    <xf numFmtId="0" fontId="8" fillId="0" borderId="0" xfId="0" applyNumberFormat="1" applyFont="1" applyFill="1">
      <alignment vertical="center"/>
    </xf>
    <xf numFmtId="0" fontId="8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41" fontId="3" fillId="0" borderId="12" xfId="5" applyNumberFormat="1" applyFont="1" applyFill="1" applyBorder="1" applyAlignment="1" applyProtection="1">
      <alignment horizontal="center" vertical="center"/>
    </xf>
    <xf numFmtId="41" fontId="3" fillId="0" borderId="9" xfId="5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41" fontId="3" fillId="0" borderId="9" xfId="0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right" vertical="center"/>
    </xf>
    <xf numFmtId="41" fontId="3" fillId="0" borderId="5" xfId="5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Alignment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3" xfId="5" applyNumberFormat="1" applyFont="1" applyFill="1" applyBorder="1" applyAlignment="1" applyProtection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9" fillId="0" borderId="0" xfId="4" applyNumberFormat="1" applyFont="1" applyFill="1" applyBorder="1" applyAlignment="1">
      <alignment horizontal="center" vertical="center"/>
    </xf>
    <xf numFmtId="41" fontId="7" fillId="2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>
      <alignment vertical="center"/>
    </xf>
    <xf numFmtId="0" fontId="4" fillId="0" borderId="0" xfId="0" applyNumberFormat="1" applyFont="1" applyBorder="1" applyAlignment="1">
      <alignment horizontal="left" vertical="center"/>
    </xf>
    <xf numFmtId="177" fontId="10" fillId="2" borderId="1" xfId="2" applyNumberFormat="1" applyFont="1" applyFill="1" applyBorder="1" applyAlignment="1" applyProtection="1">
      <alignment horizontal="left" vertical="center"/>
    </xf>
    <xf numFmtId="41" fontId="13" fillId="2" borderId="1" xfId="5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 wrapText="1"/>
    </xf>
    <xf numFmtId="0" fontId="14" fillId="2" borderId="0" xfId="3" applyNumberFormat="1" applyFont="1" applyFill="1">
      <alignment vertical="center"/>
    </xf>
    <xf numFmtId="41" fontId="13" fillId="2" borderId="1" xfId="5" applyNumberFormat="1" applyFont="1" applyFill="1" applyBorder="1" applyAlignment="1">
      <alignment horizontal="center" vertical="center"/>
    </xf>
    <xf numFmtId="41" fontId="13" fillId="5" borderId="1" xfId="4" applyNumberFormat="1" applyFont="1" applyFill="1" applyBorder="1" applyAlignment="1">
      <alignment horizontal="center" vertical="center"/>
    </xf>
    <xf numFmtId="41" fontId="13" fillId="4" borderId="1" xfId="3" applyNumberFormat="1" applyFont="1" applyFill="1" applyBorder="1">
      <alignment vertical="center"/>
    </xf>
    <xf numFmtId="41" fontId="13" fillId="0" borderId="1" xfId="5" applyNumberFormat="1" applyFont="1" applyFill="1" applyBorder="1" applyAlignment="1" applyProtection="1">
      <alignment horizontal="center" vertical="center"/>
    </xf>
    <xf numFmtId="41" fontId="13" fillId="5" borderId="1" xfId="5" applyNumberFormat="1" applyFont="1" applyFill="1" applyBorder="1" applyAlignment="1" applyProtection="1">
      <alignment horizontal="center" vertical="center"/>
    </xf>
    <xf numFmtId="41" fontId="13" fillId="4" borderId="1" xfId="2" applyNumberFormat="1" applyFont="1" applyFill="1" applyBorder="1" applyAlignment="1" applyProtection="1">
      <alignment horizontal="center" vertical="center"/>
    </xf>
    <xf numFmtId="41" fontId="13" fillId="0" borderId="1" xfId="2" applyNumberFormat="1" applyFont="1" applyFill="1" applyBorder="1" applyAlignment="1" applyProtection="1">
      <alignment horizontal="right" vertical="center" wrapText="1"/>
    </xf>
    <xf numFmtId="41" fontId="13" fillId="5" borderId="1" xfId="2" applyNumberFormat="1" applyFont="1" applyFill="1" applyBorder="1" applyAlignment="1" applyProtection="1">
      <alignment horizontal="right" vertical="center" wrapText="1"/>
    </xf>
    <xf numFmtId="41" fontId="13" fillId="2" borderId="1" xfId="2" applyNumberFormat="1" applyFont="1" applyFill="1" applyBorder="1" applyAlignment="1" applyProtection="1">
      <alignment horizontal="right" vertical="center" wrapText="1"/>
    </xf>
    <xf numFmtId="177" fontId="3" fillId="0" borderId="18" xfId="5" applyNumberFormat="1" applyFont="1" applyFill="1" applyBorder="1" applyAlignment="1" applyProtection="1">
      <alignment horizontal="right" vertical="center"/>
    </xf>
    <xf numFmtId="176" fontId="0" fillId="0" borderId="0" xfId="0" applyNumberFormat="1">
      <alignment vertical="center"/>
    </xf>
    <xf numFmtId="0" fontId="4" fillId="0" borderId="0" xfId="3" applyNumberFormat="1" applyFont="1">
      <alignment vertical="center"/>
    </xf>
    <xf numFmtId="0" fontId="2" fillId="0" borderId="0" xfId="3" applyNumberFormat="1" applyFont="1">
      <alignment vertical="center"/>
    </xf>
    <xf numFmtId="0" fontId="21" fillId="2" borderId="0" xfId="3" applyNumberFormat="1" applyFont="1" applyFill="1" applyAlignment="1">
      <alignment horizontal="center" vertical="center"/>
    </xf>
    <xf numFmtId="0" fontId="4" fillId="0" borderId="0" xfId="3" applyNumberFormat="1" applyFont="1" applyAlignment="1">
      <alignment horizontal="center" vertical="center"/>
    </xf>
    <xf numFmtId="41" fontId="21" fillId="2" borderId="0" xfId="5" applyNumberFormat="1" applyFont="1" applyFill="1" applyAlignment="1">
      <alignment horizontal="center" vertical="center"/>
    </xf>
    <xf numFmtId="0" fontId="22" fillId="0" borderId="0" xfId="3" applyNumberFormat="1" applyFont="1" applyBorder="1" applyAlignment="1">
      <alignment horizontal="left" vertical="center"/>
    </xf>
    <xf numFmtId="0" fontId="3" fillId="0" borderId="0" xfId="3" applyNumberFormat="1" applyFont="1" applyAlignment="1">
      <alignment horizontal="center" vertical="center"/>
    </xf>
    <xf numFmtId="41" fontId="3" fillId="0" borderId="0" xfId="5" applyNumberFormat="1" applyFont="1" applyBorder="1" applyAlignment="1">
      <alignment horizontal="center" vertical="center"/>
    </xf>
    <xf numFmtId="41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4" fillId="0" borderId="0" xfId="3" applyNumberFormat="1" applyFont="1" applyFill="1">
      <alignment vertical="center"/>
    </xf>
    <xf numFmtId="0" fontId="3" fillId="0" borderId="26" xfId="3" applyNumberFormat="1" applyFont="1" applyFill="1" applyBorder="1" applyAlignment="1" applyProtection="1">
      <alignment horizontal="center" vertical="center"/>
    </xf>
    <xf numFmtId="0" fontId="3" fillId="0" borderId="9" xfId="3" applyNumberFormat="1" applyFont="1" applyFill="1" applyBorder="1" applyAlignment="1" applyProtection="1">
      <alignment horizontal="center" vertical="center"/>
    </xf>
    <xf numFmtId="41" fontId="3" fillId="0" borderId="8" xfId="5" applyNumberFormat="1" applyFont="1" applyFill="1" applyBorder="1" applyAlignment="1" applyProtection="1">
      <alignment horizontal="center" vertical="center"/>
    </xf>
    <xf numFmtId="0" fontId="3" fillId="0" borderId="8" xfId="3" applyNumberFormat="1" applyFont="1" applyFill="1" applyBorder="1" applyAlignment="1" applyProtection="1">
      <alignment horizontal="center" vertical="center"/>
    </xf>
    <xf numFmtId="41" fontId="4" fillId="0" borderId="18" xfId="5" applyNumberFormat="1" applyFont="1" applyBorder="1" applyAlignment="1">
      <alignment vertical="center"/>
    </xf>
    <xf numFmtId="41" fontId="4" fillId="0" borderId="4" xfId="5" applyNumberFormat="1" applyFont="1" applyBorder="1" applyAlignment="1">
      <alignment horizontal="center" vertical="center"/>
    </xf>
    <xf numFmtId="0" fontId="23" fillId="0" borderId="29" xfId="3" applyNumberFormat="1" applyFont="1" applyFill="1" applyBorder="1" applyAlignment="1">
      <alignment horizontal="left" vertical="center" wrapText="1"/>
    </xf>
    <xf numFmtId="0" fontId="4" fillId="2" borderId="30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4" fillId="0" borderId="7" xfId="3" applyNumberFormat="1" applyFont="1" applyFill="1" applyBorder="1" applyAlignment="1" applyProtection="1">
      <alignment horizontal="center" vertical="center"/>
    </xf>
    <xf numFmtId="41" fontId="4" fillId="0" borderId="4" xfId="5" applyNumberFormat="1" applyFont="1" applyBorder="1" applyAlignment="1">
      <alignment vertical="center"/>
    </xf>
    <xf numFmtId="0" fontId="4" fillId="2" borderId="35" xfId="3" applyNumberFormat="1" applyFont="1" applyFill="1" applyBorder="1" applyAlignment="1">
      <alignment horizontal="center" vertical="center"/>
    </xf>
    <xf numFmtId="41" fontId="24" fillId="0" borderId="4" xfId="5" applyNumberFormat="1" applyFont="1" applyBorder="1" applyAlignment="1">
      <alignment vertical="center"/>
    </xf>
    <xf numFmtId="0" fontId="25" fillId="0" borderId="31" xfId="3" applyNumberFormat="1" applyFont="1" applyBorder="1" applyAlignment="1">
      <alignment horizontal="left" vertical="center" wrapText="1"/>
    </xf>
    <xf numFmtId="41" fontId="26" fillId="0" borderId="4" xfId="5" applyNumberFormat="1" applyFont="1" applyBorder="1" applyAlignment="1">
      <alignment vertical="center"/>
    </xf>
    <xf numFmtId="0" fontId="23" fillId="0" borderId="31" xfId="3" applyNumberFormat="1" applyFont="1" applyBorder="1" applyAlignment="1">
      <alignment horizontal="left" vertical="center" wrapText="1"/>
    </xf>
    <xf numFmtId="41" fontId="4" fillId="0" borderId="7" xfId="5" applyNumberFormat="1" applyFont="1" applyBorder="1" applyAlignment="1">
      <alignment vertical="center"/>
    </xf>
    <xf numFmtId="0" fontId="23" fillId="0" borderId="31" xfId="3" applyNumberFormat="1" applyFont="1" applyBorder="1" applyAlignment="1">
      <alignment horizontal="left" vertical="center"/>
    </xf>
    <xf numFmtId="0" fontId="4" fillId="2" borderId="36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41" fontId="24" fillId="0" borderId="4" xfId="3" applyNumberFormat="1" applyFont="1" applyFill="1" applyBorder="1" applyAlignment="1" applyProtection="1">
      <alignment vertical="center"/>
    </xf>
    <xf numFmtId="0" fontId="27" fillId="0" borderId="31" xfId="3" applyNumberFormat="1" applyFont="1" applyBorder="1" applyAlignment="1">
      <alignment horizontal="left" vertical="center" wrapText="1"/>
    </xf>
    <xf numFmtId="0" fontId="4" fillId="2" borderId="11" xfId="3" applyNumberFormat="1" applyFont="1" applyFill="1" applyBorder="1" applyAlignment="1">
      <alignment horizontal="center" vertical="center"/>
    </xf>
    <xf numFmtId="41" fontId="4" fillId="0" borderId="4" xfId="3" applyNumberFormat="1" applyFont="1" applyFill="1" applyBorder="1" applyAlignment="1" applyProtection="1">
      <alignment vertical="center"/>
    </xf>
    <xf numFmtId="0" fontId="4" fillId="2" borderId="1" xfId="3" applyNumberFormat="1" applyFont="1" applyFill="1" applyBorder="1" applyAlignment="1" applyProtection="1">
      <alignment horizontal="center" vertical="center"/>
    </xf>
    <xf numFmtId="0" fontId="23" fillId="0" borderId="31" xfId="3" applyNumberFormat="1" applyFont="1" applyFill="1" applyBorder="1" applyAlignment="1" applyProtection="1">
      <alignment horizontal="left" vertical="center" wrapText="1"/>
    </xf>
    <xf numFmtId="0" fontId="4" fillId="2" borderId="28" xfId="3" applyNumberFormat="1" applyFont="1" applyFill="1" applyBorder="1" applyAlignment="1" applyProtection="1">
      <alignment horizontal="center" vertical="center"/>
    </xf>
    <xf numFmtId="0" fontId="4" fillId="2" borderId="1" xfId="3" applyNumberFormat="1" applyFont="1" applyFill="1" applyBorder="1" applyAlignment="1" applyProtection="1">
      <alignment horizontal="center" vertical="center" wrapText="1"/>
    </xf>
    <xf numFmtId="0" fontId="27" fillId="0" borderId="31" xfId="3" applyNumberFormat="1" applyFont="1" applyFill="1" applyBorder="1" applyAlignment="1" applyProtection="1">
      <alignment horizontal="left" vertical="center" wrapText="1"/>
    </xf>
    <xf numFmtId="41" fontId="4" fillId="0" borderId="1" xfId="3" applyNumberFormat="1" applyFont="1" applyFill="1" applyBorder="1" applyAlignment="1" applyProtection="1">
      <alignment vertical="center"/>
    </xf>
    <xf numFmtId="41" fontId="4" fillId="0" borderId="1" xfId="5" applyNumberFormat="1" applyFont="1" applyBorder="1" applyAlignment="1">
      <alignment vertical="center"/>
    </xf>
    <xf numFmtId="0" fontId="2" fillId="0" borderId="31" xfId="3" applyNumberFormat="1" applyFont="1" applyFill="1" applyBorder="1" applyAlignment="1" applyProtection="1">
      <alignment horizontal="left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 wrapText="1"/>
    </xf>
    <xf numFmtId="0" fontId="23" fillId="0" borderId="29" xfId="3" applyNumberFormat="1" applyFont="1" applyBorder="1" applyAlignment="1">
      <alignment horizontal="left" vertical="center" wrapText="1"/>
    </xf>
    <xf numFmtId="0" fontId="4" fillId="2" borderId="37" xfId="3" applyNumberFormat="1" applyFont="1" applyFill="1" applyBorder="1" applyAlignment="1">
      <alignment horizontal="center" vertical="center"/>
    </xf>
    <xf numFmtId="0" fontId="4" fillId="2" borderId="38" xfId="3" applyNumberFormat="1" applyFont="1" applyFill="1" applyBorder="1" applyAlignment="1">
      <alignment horizontal="center" vertical="center"/>
    </xf>
    <xf numFmtId="0" fontId="4" fillId="2" borderId="20" xfId="3" applyNumberFormat="1" applyFont="1" applyFill="1" applyBorder="1" applyAlignment="1">
      <alignment horizontal="center" vertical="center"/>
    </xf>
    <xf numFmtId="41" fontId="4" fillId="0" borderId="39" xfId="3" applyNumberFormat="1" applyFont="1" applyFill="1" applyBorder="1" applyAlignment="1" applyProtection="1">
      <alignment vertical="center"/>
    </xf>
    <xf numFmtId="41" fontId="4" fillId="0" borderId="39" xfId="5" applyNumberFormat="1" applyFont="1" applyBorder="1" applyAlignment="1">
      <alignment vertical="center"/>
    </xf>
    <xf numFmtId="41" fontId="4" fillId="0" borderId="20" xfId="5" applyNumberFormat="1" applyFont="1" applyBorder="1" applyAlignment="1">
      <alignment horizontal="center" vertical="center"/>
    </xf>
    <xf numFmtId="0" fontId="23" fillId="0" borderId="32" xfId="3" applyNumberFormat="1" applyFont="1" applyBorder="1" applyAlignment="1">
      <alignment horizontal="left" vertical="center" wrapText="1"/>
    </xf>
    <xf numFmtId="41" fontId="4" fillId="0" borderId="0" xfId="5" applyNumberFormat="1" applyFont="1">
      <alignment vertical="center"/>
    </xf>
    <xf numFmtId="41" fontId="4" fillId="2" borderId="0" xfId="3" applyNumberFormat="1" applyFont="1" applyFill="1" applyAlignment="1">
      <alignment horizontal="center" vertical="center"/>
    </xf>
    <xf numFmtId="41" fontId="21" fillId="2" borderId="0" xfId="3" applyNumberFormat="1" applyFont="1" applyFill="1" applyAlignment="1">
      <alignment horizontal="center" vertical="center"/>
    </xf>
    <xf numFmtId="0" fontId="21" fillId="2" borderId="0" xfId="3" applyNumberFormat="1" applyFont="1" applyFill="1" applyAlignment="1">
      <alignment horizontal="left" vertical="center"/>
    </xf>
    <xf numFmtId="0" fontId="4" fillId="0" borderId="0" xfId="3" applyNumberFormat="1" applyFont="1" applyBorder="1" applyAlignment="1">
      <alignment horizontal="center" vertical="center"/>
    </xf>
    <xf numFmtId="41" fontId="4" fillId="0" borderId="0" xfId="5" applyNumberFormat="1" applyFont="1" applyBorder="1" applyAlignment="1">
      <alignment horizontal="center" vertical="center"/>
    </xf>
    <xf numFmtId="41" fontId="4" fillId="0" borderId="0" xfId="3" applyNumberFormat="1" applyFont="1" applyBorder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4" fillId="0" borderId="26" xfId="3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 applyProtection="1">
      <alignment horizontal="center" vertical="center"/>
    </xf>
    <xf numFmtId="41" fontId="4" fillId="0" borderId="9" xfId="5" applyNumberFormat="1" applyFont="1" applyFill="1" applyBorder="1" applyAlignment="1" applyProtection="1">
      <alignment horizontal="center" vertical="center"/>
    </xf>
    <xf numFmtId="41" fontId="24" fillId="2" borderId="5" xfId="5" applyNumberFormat="1" applyFont="1" applyFill="1" applyBorder="1" applyAlignment="1">
      <alignment horizontal="center" vertical="center"/>
    </xf>
    <xf numFmtId="41" fontId="24" fillId="2" borderId="5" xfId="5" applyNumberFormat="1" applyFont="1" applyFill="1" applyBorder="1" applyAlignment="1" applyProtection="1">
      <alignment horizontal="center" vertical="center"/>
    </xf>
    <xf numFmtId="41" fontId="24" fillId="0" borderId="5" xfId="3" applyNumberFormat="1" applyFont="1" applyFill="1" applyBorder="1" applyAlignment="1" applyProtection="1">
      <alignment vertical="center"/>
    </xf>
    <xf numFmtId="0" fontId="25" fillId="0" borderId="29" xfId="3" applyNumberFormat="1" applyFont="1" applyFill="1" applyBorder="1" applyAlignment="1">
      <alignment horizontal="left" vertical="center" wrapText="1"/>
    </xf>
    <xf numFmtId="0" fontId="4" fillId="2" borderId="1" xfId="3" applyNumberFormat="1" applyFont="1" applyFill="1" applyBorder="1" applyAlignment="1">
      <alignment vertical="center"/>
    </xf>
    <xf numFmtId="41" fontId="24" fillId="2" borderId="1" xfId="5" applyNumberFormat="1" applyFont="1" applyFill="1" applyBorder="1" applyAlignment="1">
      <alignment horizontal="center" vertical="center"/>
    </xf>
    <xf numFmtId="0" fontId="28" fillId="0" borderId="31" xfId="3" applyNumberFormat="1" applyFont="1" applyBorder="1" applyAlignment="1">
      <alignment horizontal="left" vertical="center"/>
    </xf>
    <xf numFmtId="0" fontId="24" fillId="2" borderId="1" xfId="3" applyNumberFormat="1" applyFont="1" applyFill="1" applyBorder="1" applyAlignment="1">
      <alignment horizontal="center" vertical="center"/>
    </xf>
    <xf numFmtId="41" fontId="24" fillId="2" borderId="1" xfId="5" applyNumberFormat="1" applyFont="1" applyFill="1" applyBorder="1" applyAlignment="1">
      <alignment horizontal="left" vertical="center"/>
    </xf>
    <xf numFmtId="41" fontId="24" fillId="2" borderId="1" xfId="5" applyNumberFormat="1" applyFont="1" applyFill="1" applyBorder="1" applyAlignment="1" applyProtection="1">
      <alignment horizontal="center" vertical="center"/>
    </xf>
    <xf numFmtId="0" fontId="28" fillId="0" borderId="31" xfId="3" applyNumberFormat="1" applyFont="1" applyBorder="1" applyAlignment="1">
      <alignment horizontal="left" vertical="center" wrapText="1"/>
    </xf>
    <xf numFmtId="0" fontId="24" fillId="2" borderId="1" xfId="3" applyNumberFormat="1" applyFont="1" applyFill="1" applyBorder="1" applyAlignment="1">
      <alignment horizontal="center" vertical="center" wrapText="1"/>
    </xf>
    <xf numFmtId="41" fontId="24" fillId="2" borderId="1" xfId="5" applyNumberFormat="1" applyFont="1" applyFill="1" applyBorder="1" applyAlignment="1" applyProtection="1">
      <alignment horizontal="left" vertical="center"/>
    </xf>
    <xf numFmtId="0" fontId="24" fillId="2" borderId="30" xfId="3" applyNumberFormat="1" applyFont="1" applyFill="1" applyBorder="1" applyAlignment="1">
      <alignment horizontal="center" vertical="center"/>
    </xf>
    <xf numFmtId="0" fontId="28" fillId="2" borderId="31" xfId="2" applyNumberFormat="1" applyFont="1" applyFill="1" applyBorder="1" applyAlignment="1">
      <alignment horizontal="left" vertical="center" wrapText="1"/>
    </xf>
    <xf numFmtId="0" fontId="28" fillId="0" borderId="31" xfId="3" applyNumberFormat="1" applyFont="1" applyFill="1" applyBorder="1" applyAlignment="1" applyProtection="1">
      <alignment horizontal="left" vertical="center" wrapText="1"/>
    </xf>
    <xf numFmtId="0" fontId="28" fillId="0" borderId="31" xfId="2" applyNumberFormat="1" applyFont="1" applyBorder="1" applyAlignment="1">
      <alignment horizontal="left" vertical="center" wrapText="1"/>
    </xf>
    <xf numFmtId="0" fontId="24" fillId="0" borderId="1" xfId="3" applyNumberFormat="1" applyFont="1" applyBorder="1" applyAlignment="1">
      <alignment horizontal="center" vertical="center"/>
    </xf>
    <xf numFmtId="0" fontId="24" fillId="0" borderId="1" xfId="3" applyNumberFormat="1" applyFont="1" applyFill="1" applyBorder="1" applyAlignment="1" applyProtection="1">
      <alignment horizontal="center" vertical="center"/>
    </xf>
    <xf numFmtId="41" fontId="4" fillId="0" borderId="0" xfId="3" applyNumberFormat="1" applyFont="1">
      <alignment vertical="center"/>
    </xf>
    <xf numFmtId="41" fontId="24" fillId="7" borderId="1" xfId="5" applyNumberFormat="1" applyFont="1" applyFill="1" applyBorder="1" applyAlignment="1">
      <alignment horizontal="left" vertical="center"/>
    </xf>
    <xf numFmtId="0" fontId="24" fillId="2" borderId="20" xfId="3" applyNumberFormat="1" applyFont="1" applyFill="1" applyBorder="1" applyAlignment="1">
      <alignment horizontal="center" vertical="center"/>
    </xf>
    <xf numFmtId="41" fontId="24" fillId="2" borderId="20" xfId="5" applyNumberFormat="1" applyFont="1" applyFill="1" applyBorder="1" applyAlignment="1">
      <alignment horizontal="left" vertical="center"/>
    </xf>
    <xf numFmtId="41" fontId="24" fillId="2" borderId="20" xfId="5" applyNumberFormat="1" applyFont="1" applyFill="1" applyBorder="1" applyAlignment="1" applyProtection="1">
      <alignment horizontal="center" vertical="center"/>
    </xf>
    <xf numFmtId="41" fontId="24" fillId="0" borderId="38" xfId="3" applyNumberFormat="1" applyFont="1" applyFill="1" applyBorder="1" applyAlignment="1" applyProtection="1">
      <alignment vertical="center"/>
    </xf>
    <xf numFmtId="0" fontId="28" fillId="0" borderId="32" xfId="3" applyNumberFormat="1" applyFont="1" applyBorder="1" applyAlignment="1">
      <alignment horizontal="left" vertical="center"/>
    </xf>
    <xf numFmtId="0" fontId="24" fillId="0" borderId="0" xfId="3" applyNumberFormat="1" applyFont="1">
      <alignment vertical="center"/>
    </xf>
    <xf numFmtId="0" fontId="24" fillId="0" borderId="0" xfId="3" applyNumberFormat="1" applyFont="1" applyAlignment="1">
      <alignment horizontal="center" vertical="center"/>
    </xf>
    <xf numFmtId="0" fontId="24" fillId="0" borderId="0" xfId="3" applyNumberFormat="1" applyFont="1" applyAlignment="1">
      <alignment horizontal="left" vertical="center"/>
    </xf>
    <xf numFmtId="0" fontId="4" fillId="0" borderId="0" xfId="3" applyNumberFormat="1" applyFont="1" applyAlignment="1">
      <alignment horizontal="left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0" borderId="0" xfId="3" applyNumberFormat="1" applyFont="1" applyAlignment="1">
      <alignment horizontal="center" vertical="center" wrapText="1"/>
    </xf>
    <xf numFmtId="0" fontId="4" fillId="0" borderId="0" xfId="3" applyNumberFormat="1" applyFont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0" borderId="34" xfId="3" applyNumberFormat="1" applyFont="1" applyBorder="1" applyAlignment="1">
      <alignment horizontal="center" vertical="center"/>
    </xf>
    <xf numFmtId="0" fontId="4" fillId="0" borderId="2" xfId="3" applyNumberFormat="1" applyFont="1" applyBorder="1" applyAlignment="1">
      <alignment horizontal="center" vertical="center"/>
    </xf>
    <xf numFmtId="0" fontId="4" fillId="0" borderId="4" xfId="3" applyNumberFormat="1" applyFont="1" applyBorder="1" applyAlignment="1">
      <alignment horizontal="center" vertical="center"/>
    </xf>
    <xf numFmtId="0" fontId="20" fillId="2" borderId="0" xfId="3" applyNumberFormat="1" applyFont="1" applyFill="1" applyAlignment="1">
      <alignment horizontal="center" vertical="center"/>
    </xf>
    <xf numFmtId="41" fontId="3" fillId="0" borderId="19" xfId="5" applyNumberFormat="1" applyFont="1" applyFill="1" applyBorder="1" applyAlignment="1" applyProtection="1">
      <alignment horizontal="center" vertical="center" wrapText="1"/>
    </xf>
    <xf numFmtId="0" fontId="2" fillId="0" borderId="1" xfId="3" applyNumberFormat="1" applyFont="1" applyFill="1" applyBorder="1" applyAlignment="1" applyProtection="1">
      <alignment horizontal="center" vertical="center"/>
    </xf>
    <xf numFmtId="0" fontId="2" fillId="0" borderId="36" xfId="3" applyNumberFormat="1" applyFont="1" applyFill="1" applyBorder="1" applyAlignment="1" applyProtection="1">
      <alignment horizontal="center" vertical="center"/>
    </xf>
    <xf numFmtId="0" fontId="2" fillId="0" borderId="28" xfId="3" applyNumberFormat="1" applyFont="1" applyFill="1" applyBorder="1" applyAlignment="1" applyProtection="1">
      <alignment horizontal="center" vertical="center"/>
    </xf>
    <xf numFmtId="0" fontId="3" fillId="0" borderId="33" xfId="3" applyNumberFormat="1" applyFont="1" applyFill="1" applyBorder="1" applyAlignment="1" applyProtection="1">
      <alignment horizontal="center" vertical="center"/>
    </xf>
    <xf numFmtId="0" fontId="3" fillId="0" borderId="19" xfId="3" applyNumberFormat="1" applyFont="1" applyFill="1" applyBorder="1" applyAlignment="1" applyProtection="1">
      <alignment horizontal="center" vertical="center"/>
    </xf>
    <xf numFmtId="0" fontId="3" fillId="0" borderId="24" xfId="3" applyNumberFormat="1" applyFont="1" applyFill="1" applyBorder="1" applyAlignment="1" applyProtection="1">
      <alignment horizontal="center" vertical="center"/>
    </xf>
    <xf numFmtId="0" fontId="3" fillId="0" borderId="23" xfId="3" applyNumberFormat="1" applyFont="1" applyFill="1" applyBorder="1" applyAlignment="1" applyProtection="1">
      <alignment horizontal="center" vertical="center"/>
    </xf>
    <xf numFmtId="0" fontId="3" fillId="0" borderId="25" xfId="3" applyNumberFormat="1" applyFont="1" applyFill="1" applyBorder="1" applyAlignment="1" applyProtection="1">
      <alignment horizontal="center" vertical="center"/>
    </xf>
    <xf numFmtId="0" fontId="3" fillId="0" borderId="27" xfId="3" applyNumberFormat="1" applyFont="1" applyFill="1" applyBorder="1" applyAlignment="1" applyProtection="1">
      <alignment horizontal="center" vertical="center"/>
    </xf>
    <xf numFmtId="0" fontId="24" fillId="2" borderId="11" xfId="3" applyNumberFormat="1" applyFont="1" applyFill="1" applyBorder="1" applyAlignment="1" applyProtection="1">
      <alignment horizontal="center" vertical="center"/>
    </xf>
    <xf numFmtId="0" fontId="24" fillId="2" borderId="6" xfId="3" applyNumberFormat="1" applyFont="1" applyFill="1" applyBorder="1" applyAlignment="1" applyProtection="1">
      <alignment horizontal="center" vertical="center"/>
    </xf>
    <xf numFmtId="0" fontId="24" fillId="2" borderId="5" xfId="3" applyNumberFormat="1" applyFont="1" applyFill="1" applyBorder="1" applyAlignment="1" applyProtection="1">
      <alignment horizontal="center" vertical="center"/>
    </xf>
    <xf numFmtId="0" fontId="24" fillId="2" borderId="35" xfId="3" applyNumberFormat="1" applyFont="1" applyFill="1" applyBorder="1" applyAlignment="1">
      <alignment horizontal="center" vertical="center"/>
    </xf>
    <xf numFmtId="0" fontId="24" fillId="2" borderId="36" xfId="3" applyNumberFormat="1" applyFont="1" applyFill="1" applyBorder="1" applyAlignment="1">
      <alignment horizontal="center" vertical="center"/>
    </xf>
    <xf numFmtId="0" fontId="24" fillId="2" borderId="28" xfId="3" applyNumberFormat="1" applyFont="1" applyFill="1" applyBorder="1" applyAlignment="1">
      <alignment horizontal="center" vertical="center"/>
    </xf>
    <xf numFmtId="0" fontId="24" fillId="2" borderId="11" xfId="3" applyNumberFormat="1" applyFont="1" applyFill="1" applyBorder="1" applyAlignment="1">
      <alignment horizontal="center" vertical="center"/>
    </xf>
    <xf numFmtId="0" fontId="24" fillId="2" borderId="6" xfId="3" applyNumberFormat="1" applyFont="1" applyFill="1" applyBorder="1" applyAlignment="1">
      <alignment horizontal="center" vertical="center"/>
    </xf>
    <xf numFmtId="0" fontId="24" fillId="2" borderId="5" xfId="3" applyNumberFormat="1" applyFont="1" applyFill="1" applyBorder="1" applyAlignment="1">
      <alignment horizontal="center" vertical="center"/>
    </xf>
    <xf numFmtId="0" fontId="24" fillId="2" borderId="30" xfId="3" applyNumberFormat="1" applyFont="1" applyFill="1" applyBorder="1" applyAlignment="1" applyProtection="1">
      <alignment horizontal="center" vertical="center"/>
    </xf>
    <xf numFmtId="0" fontId="24" fillId="2" borderId="40" xfId="3" applyNumberFormat="1" applyFont="1" applyFill="1" applyBorder="1" applyAlignment="1" applyProtection="1">
      <alignment horizontal="center" vertical="center"/>
    </xf>
    <xf numFmtId="0" fontId="4" fillId="0" borderId="24" xfId="3" applyNumberFormat="1" applyFont="1" applyFill="1" applyBorder="1" applyAlignment="1" applyProtection="1">
      <alignment horizontal="center" vertical="center" wrapText="1"/>
    </xf>
    <xf numFmtId="0" fontId="24" fillId="2" borderId="1" xfId="3" applyNumberFormat="1" applyFont="1" applyFill="1" applyBorder="1" applyAlignment="1">
      <alignment horizontal="center" vertical="center"/>
    </xf>
    <xf numFmtId="0" fontId="4" fillId="0" borderId="21" xfId="3" applyNumberFormat="1" applyFont="1" applyFill="1" applyBorder="1" applyAlignment="1" applyProtection="1">
      <alignment horizontal="center" vertical="center"/>
    </xf>
    <xf numFmtId="0" fontId="4" fillId="0" borderId="22" xfId="3" applyNumberFormat="1" applyFont="1" applyFill="1" applyBorder="1" applyAlignment="1" applyProtection="1">
      <alignment horizontal="center" vertical="center"/>
    </xf>
    <xf numFmtId="0" fontId="4" fillId="0" borderId="23" xfId="3" applyNumberFormat="1" applyFont="1" applyFill="1" applyBorder="1" applyAlignment="1" applyProtection="1">
      <alignment horizontal="center" vertical="center"/>
    </xf>
    <xf numFmtId="41" fontId="4" fillId="0" borderId="19" xfId="5" applyNumberFormat="1" applyFont="1" applyFill="1" applyBorder="1" applyAlignment="1" applyProtection="1">
      <alignment horizontal="center" vertical="center"/>
    </xf>
    <xf numFmtId="0" fontId="4" fillId="0" borderId="19" xfId="3" applyNumberFormat="1" applyFont="1" applyFill="1" applyBorder="1" applyAlignment="1" applyProtection="1">
      <alignment vertical="center"/>
    </xf>
    <xf numFmtId="0" fontId="4" fillId="0" borderId="25" xfId="3" applyNumberFormat="1" applyFont="1" applyFill="1" applyBorder="1" applyAlignment="1" applyProtection="1">
      <alignment horizontal="center" vertical="center"/>
    </xf>
    <xf numFmtId="0" fontId="4" fillId="0" borderId="27" xfId="3" applyNumberFormat="1" applyFont="1" applyFill="1" applyBorder="1" applyAlignment="1" applyProtection="1">
      <alignment horizontal="center" vertical="center"/>
    </xf>
    <xf numFmtId="0" fontId="4" fillId="2" borderId="28" xfId="3" applyNumberFormat="1" applyFont="1" applyFill="1" applyBorder="1" applyAlignment="1">
      <alignment horizontal="center" vertical="center"/>
    </xf>
    <xf numFmtId="0" fontId="24" fillId="0" borderId="11" xfId="3" applyNumberFormat="1" applyFont="1" applyBorder="1" applyAlignment="1">
      <alignment horizontal="center" vertical="center"/>
    </xf>
    <xf numFmtId="0" fontId="24" fillId="0" borderId="6" xfId="3" applyNumberFormat="1" applyFont="1" applyBorder="1" applyAlignment="1">
      <alignment horizontal="center" vertical="center"/>
    </xf>
    <xf numFmtId="0" fontId="24" fillId="0" borderId="5" xfId="3" applyNumberFormat="1" applyFont="1" applyBorder="1" applyAlignment="1">
      <alignment horizontal="center" vertical="center"/>
    </xf>
    <xf numFmtId="41" fontId="16" fillId="0" borderId="11" xfId="1" applyNumberFormat="1" applyFont="1" applyFill="1" applyBorder="1" applyAlignment="1" applyProtection="1">
      <alignment horizontal="center" vertical="center"/>
    </xf>
    <xf numFmtId="41" fontId="16" fillId="0" borderId="6" xfId="1" applyNumberFormat="1" applyFont="1" applyFill="1" applyBorder="1" applyAlignment="1" applyProtection="1">
      <alignment horizontal="center" vertical="center"/>
    </xf>
    <xf numFmtId="41" fontId="16" fillId="0" borderId="5" xfId="1" applyNumberFormat="1" applyFont="1" applyFill="1" applyBorder="1" applyAlignment="1" applyProtection="1">
      <alignment horizontal="center" vertical="center"/>
    </xf>
    <xf numFmtId="41" fontId="3" fillId="0" borderId="16" xfId="1" applyNumberFormat="1" applyFont="1" applyFill="1" applyBorder="1" applyAlignment="1" applyProtection="1">
      <alignment horizontal="center" vertical="center"/>
      <protection locked="0"/>
    </xf>
    <xf numFmtId="41" fontId="3" fillId="0" borderId="10" xfId="1" applyNumberFormat="1" applyFont="1" applyFill="1" applyBorder="1" applyAlignment="1" applyProtection="1">
      <alignment horizontal="center" vertical="center"/>
      <protection locked="0"/>
    </xf>
    <xf numFmtId="41" fontId="3" fillId="0" borderId="14" xfId="1" applyNumberFormat="1" applyFont="1" applyFill="1" applyBorder="1" applyAlignment="1" applyProtection="1">
      <alignment horizontal="center" vertical="center"/>
      <protection locked="0"/>
    </xf>
    <xf numFmtId="41" fontId="3" fillId="0" borderId="4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0" applyNumberFormat="1" applyFont="1" applyFill="1" applyBorder="1" applyAlignment="1" applyProtection="1">
      <alignment horizontal="center" vertical="center"/>
    </xf>
    <xf numFmtId="41" fontId="17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41" fontId="15" fillId="2" borderId="11" xfId="1" applyNumberFormat="1" applyFont="1" applyFill="1" applyBorder="1" applyAlignment="1" applyProtection="1">
      <alignment horizontal="center" vertical="center"/>
      <protection locked="0"/>
    </xf>
    <xf numFmtId="41" fontId="15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11" xfId="1" applyNumberFormat="1" applyFont="1" applyFill="1" applyBorder="1" applyAlignment="1" applyProtection="1">
      <alignment horizontal="center" vertical="center"/>
      <protection locked="0"/>
    </xf>
    <xf numFmtId="41" fontId="3" fillId="0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/>
      <protection locked="0"/>
    </xf>
    <xf numFmtId="41" fontId="3" fillId="0" borderId="15" xfId="1" applyNumberFormat="1" applyFont="1" applyFill="1" applyBorder="1" applyAlignment="1" applyProtection="1">
      <alignment horizontal="center" vertical="center"/>
      <protection locked="0"/>
    </xf>
    <xf numFmtId="41" fontId="3" fillId="0" borderId="7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/>
      <protection locked="0"/>
    </xf>
    <xf numFmtId="41" fontId="3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6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16" fillId="0" borderId="3" xfId="1" applyNumberFormat="1" applyFont="1" applyFill="1" applyBorder="1" applyAlignment="1" applyProtection="1">
      <alignment horizontal="center" vertical="center"/>
    </xf>
    <xf numFmtId="41" fontId="16" fillId="0" borderId="15" xfId="1" applyNumberFormat="1" applyFont="1" applyFill="1" applyBorder="1" applyAlignment="1" applyProtection="1">
      <alignment horizontal="center" vertical="center"/>
    </xf>
    <xf numFmtId="41" fontId="16" fillId="0" borderId="7" xfId="1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6" fillId="2" borderId="0" xfId="4" applyNumberFormat="1" applyFont="1" applyFill="1" applyAlignment="1">
      <alignment horizontal="center" vertical="center"/>
    </xf>
    <xf numFmtId="0" fontId="9" fillId="2" borderId="11" xfId="4" applyNumberFormat="1" applyFont="1" applyFill="1" applyBorder="1" applyAlignment="1">
      <alignment horizontal="center" vertical="center"/>
    </xf>
    <xf numFmtId="0" fontId="9" fillId="2" borderId="5" xfId="4" applyNumberFormat="1" applyFont="1" applyFill="1" applyBorder="1" applyAlignment="1">
      <alignment horizontal="center" vertical="center"/>
    </xf>
    <xf numFmtId="0" fontId="7" fillId="2" borderId="17" xfId="3" applyNumberFormat="1" applyFont="1" applyFill="1" applyBorder="1" applyAlignment="1" applyProtection="1">
      <alignment horizontal="left"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41" fontId="6" fillId="2" borderId="0" xfId="5" applyNumberFormat="1" applyFont="1" applyFill="1" applyBorder="1" applyAlignment="1" applyProtection="1">
      <alignment horizontal="center" vertical="center"/>
    </xf>
    <xf numFmtId="0" fontId="7" fillId="2" borderId="1" xfId="2" applyNumberFormat="1" applyFont="1" applyFill="1" applyBorder="1" applyAlignment="1" applyProtection="1">
      <alignment horizontal="right" vertical="center" wrapText="1"/>
    </xf>
    <xf numFmtId="0" fontId="7" fillId="2" borderId="1" xfId="2" applyNumberFormat="1" applyFont="1" applyFill="1" applyBorder="1" applyAlignment="1" applyProtection="1">
      <alignment horizontal="right" vertical="center"/>
    </xf>
    <xf numFmtId="0" fontId="7" fillId="5" borderId="1" xfId="2" applyNumberFormat="1" applyFont="1" applyFill="1" applyBorder="1" applyAlignment="1" applyProtection="1">
      <alignment horizontal="center" vertical="center"/>
    </xf>
    <xf numFmtId="0" fontId="7" fillId="4" borderId="1" xfId="2" applyNumberFormat="1" applyFont="1" applyFill="1" applyBorder="1" applyAlignment="1" applyProtection="1">
      <alignment horizontal="center" vertical="center"/>
    </xf>
    <xf numFmtId="0" fontId="10" fillId="2" borderId="1" xfId="2" applyNumberFormat="1" applyFont="1" applyFill="1" applyBorder="1" applyAlignment="1" applyProtection="1">
      <alignment horizontal="center" vertical="center" wrapText="1"/>
    </xf>
    <xf numFmtId="0" fontId="10" fillId="2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8" fillId="2" borderId="1" xfId="3" applyNumberFormat="1" applyFont="1" applyFill="1" applyBorder="1" applyAlignment="1" applyProtection="1">
      <alignment horizontal="left" vertical="center" wrapText="1"/>
    </xf>
    <xf numFmtId="0" fontId="8" fillId="2" borderId="1" xfId="3" applyNumberFormat="1" applyFont="1" applyFill="1" applyBorder="1" applyAlignment="1" applyProtection="1">
      <alignment horizontal="left" vertical="center"/>
    </xf>
  </cellXfs>
  <cellStyles count="7">
    <cellStyle name="쉼표 [0]" xfId="1" builtinId="6"/>
    <cellStyle name="쉼표 [0] 2" xfId="5"/>
    <cellStyle name="쉼표 [0] 2 2" xfId="6"/>
    <cellStyle name="표준" xfId="0" builtinId="0"/>
    <cellStyle name="표준 2" xfId="3"/>
    <cellStyle name="표준_Sheet2" xfId="2"/>
    <cellStyle name="표준_Sheet4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26"/>
  <sheetViews>
    <sheetView zoomScaleNormal="100" workbookViewId="0">
      <selection activeCell="B20" sqref="B20"/>
    </sheetView>
  </sheetViews>
  <sheetFormatPr defaultColWidth="9" defaultRowHeight="13.5" x14ac:dyDescent="0.3"/>
  <cols>
    <col min="1" max="1" width="15.625" style="113" customWidth="1"/>
    <col min="2" max="2" width="15.625" style="116" customWidth="1"/>
    <col min="3" max="3" width="14.375" style="116" customWidth="1"/>
    <col min="4" max="4" width="13.75" style="167" customWidth="1"/>
    <col min="5" max="5" width="13.625" style="167" customWidth="1"/>
    <col min="6" max="6" width="14.125" style="113" customWidth="1"/>
    <col min="7" max="7" width="15.625" style="113" customWidth="1"/>
    <col min="8" max="8" width="42.25" style="113" customWidth="1"/>
    <col min="9" max="10" width="10" style="113" customWidth="1"/>
    <col min="11" max="11" width="18.875" style="113" customWidth="1"/>
    <col min="12" max="256" width="10" style="113" customWidth="1"/>
    <col min="257" max="16384" width="9" style="114"/>
  </cols>
  <sheetData>
    <row r="1" spans="1:11" ht="25.5" x14ac:dyDescent="0.3">
      <c r="A1" s="216" t="s">
        <v>273</v>
      </c>
      <c r="B1" s="216"/>
      <c r="C1" s="216"/>
      <c r="D1" s="216"/>
      <c r="E1" s="216"/>
      <c r="F1" s="216"/>
      <c r="G1" s="216"/>
      <c r="H1" s="216"/>
    </row>
    <row r="2" spans="1:11" ht="15" customHeight="1" x14ac:dyDescent="0.3">
      <c r="A2" s="115"/>
      <c r="B2" s="115"/>
      <c r="D2" s="117"/>
      <c r="E2" s="117"/>
      <c r="F2" s="115"/>
      <c r="G2" s="115"/>
      <c r="H2" s="115"/>
    </row>
    <row r="3" spans="1:11" ht="19.5" thickBot="1" x14ac:dyDescent="0.35">
      <c r="A3" s="118" t="s">
        <v>113</v>
      </c>
      <c r="B3" s="119"/>
      <c r="D3" s="120"/>
      <c r="E3" s="120"/>
      <c r="F3" s="121"/>
      <c r="G3" s="122"/>
      <c r="H3" s="123" t="s">
        <v>94</v>
      </c>
    </row>
    <row r="4" spans="1:11" s="124" customFormat="1" ht="26.1" customHeight="1" x14ac:dyDescent="0.3">
      <c r="A4" s="221" t="s">
        <v>93</v>
      </c>
      <c r="B4" s="222"/>
      <c r="C4" s="222"/>
      <c r="D4" s="217" t="s">
        <v>92</v>
      </c>
      <c r="E4" s="217"/>
      <c r="F4" s="223" t="s">
        <v>11</v>
      </c>
      <c r="G4" s="224"/>
      <c r="H4" s="225" t="s">
        <v>17</v>
      </c>
    </row>
    <row r="5" spans="1:11" s="124" customFormat="1" ht="26.1" customHeight="1" thickBot="1" x14ac:dyDescent="0.35">
      <c r="A5" s="125" t="s">
        <v>62</v>
      </c>
      <c r="B5" s="126" t="s">
        <v>66</v>
      </c>
      <c r="C5" s="126" t="s">
        <v>44</v>
      </c>
      <c r="D5" s="127" t="s">
        <v>275</v>
      </c>
      <c r="E5" s="84" t="s">
        <v>274</v>
      </c>
      <c r="F5" s="126" t="s">
        <v>51</v>
      </c>
      <c r="G5" s="128" t="s">
        <v>45</v>
      </c>
      <c r="H5" s="226"/>
    </row>
    <row r="6" spans="1:11" ht="26.1" customHeight="1" thickTop="1" x14ac:dyDescent="0.3">
      <c r="A6" s="213" t="s">
        <v>95</v>
      </c>
      <c r="B6" s="214"/>
      <c r="C6" s="215"/>
      <c r="D6" s="129">
        <f>D7+D12+D16+D20+D23</f>
        <v>1046768</v>
      </c>
      <c r="E6" s="129">
        <f>E7+E12+E16+E20+E23</f>
        <v>1013873</v>
      </c>
      <c r="F6" s="130"/>
      <c r="G6" s="130">
        <f>D6-E6</f>
        <v>32895</v>
      </c>
      <c r="H6" s="131" t="s">
        <v>280</v>
      </c>
    </row>
    <row r="7" spans="1:11" ht="26.1" customHeight="1" x14ac:dyDescent="0.3">
      <c r="A7" s="132" t="s">
        <v>114</v>
      </c>
      <c r="B7" s="133"/>
      <c r="C7" s="134"/>
      <c r="D7" s="135">
        <f>D8</f>
        <v>768068</v>
      </c>
      <c r="E7" s="135">
        <f>E8</f>
        <v>795382</v>
      </c>
      <c r="F7" s="130">
        <v>27314</v>
      </c>
      <c r="G7" s="130"/>
      <c r="H7" s="131"/>
    </row>
    <row r="8" spans="1:11" ht="26.1" customHeight="1" x14ac:dyDescent="0.3">
      <c r="A8" s="136"/>
      <c r="B8" s="133" t="s">
        <v>114</v>
      </c>
      <c r="C8" s="134"/>
      <c r="D8" s="135">
        <f>D9+D10+D11</f>
        <v>768068</v>
      </c>
      <c r="E8" s="135">
        <f>E9+E10+E11</f>
        <v>795382</v>
      </c>
      <c r="F8" s="130">
        <v>27314</v>
      </c>
      <c r="G8" s="130"/>
      <c r="H8" s="131"/>
    </row>
    <row r="9" spans="1:11" ht="65.25" customHeight="1" x14ac:dyDescent="0.3">
      <c r="A9" s="219"/>
      <c r="B9" s="218"/>
      <c r="C9" s="133" t="s">
        <v>116</v>
      </c>
      <c r="D9" s="137">
        <v>750000</v>
      </c>
      <c r="E9" s="137">
        <v>770782</v>
      </c>
      <c r="F9" s="135">
        <v>20782</v>
      </c>
      <c r="G9" s="130"/>
      <c r="H9" s="138" t="s">
        <v>269</v>
      </c>
      <c r="J9" s="210"/>
      <c r="K9" s="211"/>
    </row>
    <row r="10" spans="1:11" ht="98.25" customHeight="1" x14ac:dyDescent="0.3">
      <c r="A10" s="219"/>
      <c r="B10" s="218"/>
      <c r="C10" s="133" t="s">
        <v>88</v>
      </c>
      <c r="D10" s="137">
        <v>18068</v>
      </c>
      <c r="E10" s="137">
        <v>24600</v>
      </c>
      <c r="F10" s="135">
        <v>6532</v>
      </c>
      <c r="G10" s="130"/>
      <c r="H10" s="138" t="s">
        <v>270</v>
      </c>
    </row>
    <row r="11" spans="1:11" ht="35.25" hidden="1" customHeight="1" x14ac:dyDescent="0.3">
      <c r="A11" s="220"/>
      <c r="B11" s="218"/>
      <c r="C11" s="133" t="s">
        <v>131</v>
      </c>
      <c r="D11" s="139">
        <v>0</v>
      </c>
      <c r="E11" s="139">
        <v>0</v>
      </c>
      <c r="F11" s="135"/>
      <c r="G11" s="130">
        <f t="shared" ref="G11:G26" si="0">D11-E11</f>
        <v>0</v>
      </c>
      <c r="H11" s="140"/>
    </row>
    <row r="12" spans="1:11" ht="26.1" customHeight="1" x14ac:dyDescent="0.3">
      <c r="A12" s="132" t="s">
        <v>126</v>
      </c>
      <c r="B12" s="133"/>
      <c r="C12" s="133"/>
      <c r="D12" s="141">
        <f>SUM(D14:D15)</f>
        <v>110000</v>
      </c>
      <c r="E12" s="141">
        <f>SUM(E14:E15)</f>
        <v>80000</v>
      </c>
      <c r="F12" s="135"/>
      <c r="G12" s="130">
        <f t="shared" si="0"/>
        <v>30000</v>
      </c>
      <c r="H12" s="142"/>
    </row>
    <row r="13" spans="1:11" ht="26.1" customHeight="1" x14ac:dyDescent="0.3">
      <c r="A13" s="143"/>
      <c r="B13" s="133" t="s">
        <v>126</v>
      </c>
      <c r="C13" s="133"/>
      <c r="D13" s="135">
        <f>D14+D15</f>
        <v>110000</v>
      </c>
      <c r="E13" s="135">
        <f>E14+E15</f>
        <v>80000</v>
      </c>
      <c r="F13" s="135"/>
      <c r="G13" s="130">
        <f t="shared" si="0"/>
        <v>30000</v>
      </c>
      <c r="H13" s="142"/>
    </row>
    <row r="14" spans="1:11" ht="39.75" customHeight="1" x14ac:dyDescent="0.3">
      <c r="A14" s="143"/>
      <c r="B14" s="212"/>
      <c r="C14" s="144" t="s">
        <v>107</v>
      </c>
      <c r="D14" s="145">
        <v>50000</v>
      </c>
      <c r="E14" s="145">
        <v>30000</v>
      </c>
      <c r="F14" s="135"/>
      <c r="G14" s="130">
        <f t="shared" si="0"/>
        <v>20000</v>
      </c>
      <c r="H14" s="146" t="s">
        <v>277</v>
      </c>
    </row>
    <row r="15" spans="1:11" ht="32.25" customHeight="1" x14ac:dyDescent="0.3">
      <c r="A15" s="143"/>
      <c r="B15" s="209"/>
      <c r="C15" s="147" t="s">
        <v>91</v>
      </c>
      <c r="D15" s="148">
        <v>60000</v>
      </c>
      <c r="E15" s="148">
        <v>50000</v>
      </c>
      <c r="F15" s="135"/>
      <c r="G15" s="130">
        <f t="shared" si="0"/>
        <v>10000</v>
      </c>
      <c r="H15" s="140"/>
    </row>
    <row r="16" spans="1:11" ht="26.1" customHeight="1" x14ac:dyDescent="0.3">
      <c r="A16" s="132" t="s">
        <v>42</v>
      </c>
      <c r="B16" s="133"/>
      <c r="C16" s="149"/>
      <c r="D16" s="148">
        <f>D17</f>
        <v>5000</v>
      </c>
      <c r="E16" s="148">
        <f>E17</f>
        <v>10000</v>
      </c>
      <c r="F16" s="135">
        <v>5000</v>
      </c>
      <c r="G16" s="130"/>
      <c r="H16" s="150"/>
    </row>
    <row r="17" spans="1:8" ht="26.1" customHeight="1" x14ac:dyDescent="0.3">
      <c r="A17" s="136"/>
      <c r="B17" s="133" t="s">
        <v>42</v>
      </c>
      <c r="C17" s="149"/>
      <c r="D17" s="148">
        <f>D18+D19</f>
        <v>5000</v>
      </c>
      <c r="E17" s="148">
        <f>E18+E19</f>
        <v>10000</v>
      </c>
      <c r="F17" s="135">
        <v>5000</v>
      </c>
      <c r="G17" s="130"/>
      <c r="H17" s="150"/>
    </row>
    <row r="18" spans="1:8" ht="26.1" customHeight="1" x14ac:dyDescent="0.3">
      <c r="A18" s="143"/>
      <c r="B18" s="208"/>
      <c r="C18" s="149" t="s">
        <v>105</v>
      </c>
      <c r="D18" s="145">
        <v>1000</v>
      </c>
      <c r="E18" s="145">
        <v>2000</v>
      </c>
      <c r="F18" s="135">
        <v>1000</v>
      </c>
      <c r="G18" s="130"/>
      <c r="H18" s="150" t="s">
        <v>198</v>
      </c>
    </row>
    <row r="19" spans="1:8" ht="33" customHeight="1" x14ac:dyDescent="0.3">
      <c r="A19" s="151"/>
      <c r="B19" s="209"/>
      <c r="C19" s="152" t="s">
        <v>20</v>
      </c>
      <c r="D19" s="145">
        <v>4000</v>
      </c>
      <c r="E19" s="145">
        <v>8000</v>
      </c>
      <c r="F19" s="135">
        <v>4000</v>
      </c>
      <c r="G19" s="130"/>
      <c r="H19" s="153" t="s">
        <v>278</v>
      </c>
    </row>
    <row r="20" spans="1:8" ht="26.1" customHeight="1" x14ac:dyDescent="0.3">
      <c r="A20" s="132" t="s">
        <v>38</v>
      </c>
      <c r="B20" s="133"/>
      <c r="C20" s="133"/>
      <c r="D20" s="154">
        <f>SUM(D22:D22)</f>
        <v>146000</v>
      </c>
      <c r="E20" s="154">
        <f>SUM(E22:E22)</f>
        <v>115541</v>
      </c>
      <c r="F20" s="155"/>
      <c r="G20" s="130">
        <f t="shared" si="0"/>
        <v>30459</v>
      </c>
      <c r="H20" s="156"/>
    </row>
    <row r="21" spans="1:8" ht="26.1" customHeight="1" x14ac:dyDescent="0.3">
      <c r="A21" s="136"/>
      <c r="B21" s="133" t="s">
        <v>38</v>
      </c>
      <c r="C21" s="133"/>
      <c r="D21" s="154">
        <f>D22</f>
        <v>146000</v>
      </c>
      <c r="E21" s="154">
        <f>E22</f>
        <v>115541</v>
      </c>
      <c r="F21" s="155"/>
      <c r="G21" s="130">
        <f t="shared" si="0"/>
        <v>30459</v>
      </c>
      <c r="H21" s="156"/>
    </row>
    <row r="22" spans="1:8" ht="49.5" customHeight="1" x14ac:dyDescent="0.3">
      <c r="A22" s="151"/>
      <c r="B22" s="157"/>
      <c r="C22" s="158" t="s">
        <v>96</v>
      </c>
      <c r="D22" s="145">
        <v>146000</v>
      </c>
      <c r="E22" s="145">
        <v>115541</v>
      </c>
      <c r="F22" s="135"/>
      <c r="G22" s="130">
        <f t="shared" si="0"/>
        <v>30459</v>
      </c>
      <c r="H22" s="159" t="s">
        <v>276</v>
      </c>
    </row>
    <row r="23" spans="1:8" ht="26.1" customHeight="1" x14ac:dyDescent="0.3">
      <c r="A23" s="132" t="s">
        <v>46</v>
      </c>
      <c r="B23" s="133"/>
      <c r="C23" s="133"/>
      <c r="D23" s="141">
        <f>SUM(D25:D26)</f>
        <v>17700</v>
      </c>
      <c r="E23" s="141">
        <f>SUM(E25:E26)</f>
        <v>12950</v>
      </c>
      <c r="F23" s="135"/>
      <c r="G23" s="130">
        <f t="shared" si="0"/>
        <v>4750</v>
      </c>
      <c r="H23" s="142"/>
    </row>
    <row r="24" spans="1:8" ht="26.1" customHeight="1" x14ac:dyDescent="0.3">
      <c r="A24" s="143"/>
      <c r="B24" s="133" t="s">
        <v>46</v>
      </c>
      <c r="C24" s="133"/>
      <c r="D24" s="135">
        <f>D25+D26</f>
        <v>17700</v>
      </c>
      <c r="E24" s="135">
        <f>E25+E26</f>
        <v>12950</v>
      </c>
      <c r="F24" s="135"/>
      <c r="G24" s="130">
        <f t="shared" si="0"/>
        <v>4750</v>
      </c>
      <c r="H24" s="142"/>
    </row>
    <row r="25" spans="1:8" ht="33" customHeight="1" x14ac:dyDescent="0.3">
      <c r="A25" s="143"/>
      <c r="B25" s="144"/>
      <c r="C25" s="158" t="s">
        <v>15</v>
      </c>
      <c r="D25" s="145">
        <v>5000</v>
      </c>
      <c r="E25" s="145">
        <v>1000</v>
      </c>
      <c r="F25" s="135"/>
      <c r="G25" s="130">
        <f t="shared" si="0"/>
        <v>4000</v>
      </c>
      <c r="H25" s="142"/>
    </row>
    <row r="26" spans="1:8" ht="120.75" customHeight="1" thickBot="1" x14ac:dyDescent="0.35">
      <c r="A26" s="160"/>
      <c r="B26" s="161"/>
      <c r="C26" s="162" t="s">
        <v>104</v>
      </c>
      <c r="D26" s="163">
        <v>12700</v>
      </c>
      <c r="E26" s="163">
        <v>11950</v>
      </c>
      <c r="F26" s="164"/>
      <c r="G26" s="165">
        <f t="shared" si="0"/>
        <v>750</v>
      </c>
      <c r="H26" s="166" t="s">
        <v>279</v>
      </c>
    </row>
  </sheetData>
  <mergeCells count="11">
    <mergeCell ref="B18:B19"/>
    <mergeCell ref="J9:K9"/>
    <mergeCell ref="B14:B15"/>
    <mergeCell ref="A6:C6"/>
    <mergeCell ref="A1:H1"/>
    <mergeCell ref="D4:E4"/>
    <mergeCell ref="B9:B11"/>
    <mergeCell ref="A9:A11"/>
    <mergeCell ref="A4:C4"/>
    <mergeCell ref="F4:G4"/>
    <mergeCell ref="H4:H5"/>
  </mergeCells>
  <phoneticPr fontId="19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2"/>
  <sheetViews>
    <sheetView tabSelected="1" zoomScale="90" zoomScaleNormal="90" workbookViewId="0">
      <selection sqref="A1:H1"/>
    </sheetView>
  </sheetViews>
  <sheetFormatPr defaultColWidth="9" defaultRowHeight="13.5" x14ac:dyDescent="0.3"/>
  <cols>
    <col min="1" max="1" width="12.625" style="113" bestFit="1" customWidth="1"/>
    <col min="2" max="2" width="12.625" style="116" bestFit="1" customWidth="1"/>
    <col min="3" max="3" width="18.25" style="116" bestFit="1" customWidth="1"/>
    <col min="4" max="4" width="14.75" style="113" bestFit="1" customWidth="1"/>
    <col min="5" max="5" width="17" style="113" bestFit="1" customWidth="1"/>
    <col min="6" max="6" width="14.75" style="113" bestFit="1" customWidth="1"/>
    <col min="7" max="7" width="13.75" style="113" customWidth="1"/>
    <col min="8" max="8" width="42.625" style="207" customWidth="1"/>
    <col min="9" max="253" width="10" style="113" customWidth="1"/>
    <col min="254" max="16384" width="9" style="114"/>
  </cols>
  <sheetData>
    <row r="1" spans="1:8" ht="39" customHeight="1" x14ac:dyDescent="0.3">
      <c r="A1" s="216" t="s">
        <v>291</v>
      </c>
      <c r="B1" s="216"/>
      <c r="C1" s="216"/>
      <c r="D1" s="216"/>
      <c r="E1" s="216"/>
      <c r="F1" s="216"/>
      <c r="G1" s="216"/>
      <c r="H1" s="216"/>
    </row>
    <row r="2" spans="1:8" ht="25.5" x14ac:dyDescent="0.3">
      <c r="A2" s="115"/>
      <c r="B2" s="115"/>
      <c r="C2" s="115"/>
      <c r="D2" s="168"/>
      <c r="E2" s="169"/>
      <c r="F2" s="115"/>
      <c r="G2" s="115"/>
      <c r="H2" s="170"/>
    </row>
    <row r="3" spans="1:8" s="113" customFormat="1" ht="15" thickBot="1" x14ac:dyDescent="0.35">
      <c r="A3" s="171" t="s">
        <v>117</v>
      </c>
      <c r="B3" s="171"/>
      <c r="C3" s="171"/>
      <c r="D3" s="172"/>
      <c r="E3" s="120"/>
      <c r="F3" s="173"/>
      <c r="G3" s="172"/>
      <c r="H3" s="174" t="s">
        <v>16</v>
      </c>
    </row>
    <row r="4" spans="1:8" ht="24.95" customHeight="1" x14ac:dyDescent="0.3">
      <c r="A4" s="240" t="s">
        <v>93</v>
      </c>
      <c r="B4" s="241"/>
      <c r="C4" s="242"/>
      <c r="D4" s="238" t="s">
        <v>97</v>
      </c>
      <c r="E4" s="238"/>
      <c r="F4" s="243" t="s">
        <v>10</v>
      </c>
      <c r="G4" s="244"/>
      <c r="H4" s="245" t="s">
        <v>106</v>
      </c>
    </row>
    <row r="5" spans="1:8" ht="24.95" customHeight="1" thickBot="1" x14ac:dyDescent="0.35">
      <c r="A5" s="175" t="s">
        <v>62</v>
      </c>
      <c r="B5" s="176" t="s">
        <v>66</v>
      </c>
      <c r="C5" s="176" t="s">
        <v>44</v>
      </c>
      <c r="D5" s="127" t="s">
        <v>263</v>
      </c>
      <c r="E5" s="84" t="s">
        <v>274</v>
      </c>
      <c r="F5" s="177" t="s">
        <v>51</v>
      </c>
      <c r="G5" s="177" t="s">
        <v>45</v>
      </c>
      <c r="H5" s="246"/>
    </row>
    <row r="6" spans="1:8" ht="27" customHeight="1" thickTop="1" x14ac:dyDescent="0.3">
      <c r="A6" s="247" t="s">
        <v>12</v>
      </c>
      <c r="B6" s="209"/>
      <c r="C6" s="209"/>
      <c r="D6" s="178">
        <f>D7+D24+D29+D55+D58</f>
        <v>1046768</v>
      </c>
      <c r="E6" s="178">
        <f>E7+E24+E29+E55+E58</f>
        <v>1013873</v>
      </c>
      <c r="F6" s="179"/>
      <c r="G6" s="180">
        <f>D6-E6</f>
        <v>32895</v>
      </c>
      <c r="H6" s="181" t="s">
        <v>264</v>
      </c>
    </row>
    <row r="7" spans="1:8" ht="24.75" customHeight="1" x14ac:dyDescent="0.3">
      <c r="A7" s="132" t="s">
        <v>47</v>
      </c>
      <c r="B7" s="182"/>
      <c r="C7" s="182"/>
      <c r="D7" s="183">
        <f>D8+D14+D17</f>
        <v>708525</v>
      </c>
      <c r="E7" s="183">
        <f>E8+E14+E17</f>
        <v>709729</v>
      </c>
      <c r="F7" s="183">
        <v>1204</v>
      </c>
      <c r="G7" s="180"/>
      <c r="H7" s="184"/>
    </row>
    <row r="8" spans="1:8" ht="24.75" customHeight="1" x14ac:dyDescent="0.3">
      <c r="A8" s="230"/>
      <c r="B8" s="185" t="s">
        <v>54</v>
      </c>
      <c r="C8" s="185"/>
      <c r="D8" s="183">
        <f>SUM(D9:D13)</f>
        <v>624852</v>
      </c>
      <c r="E8" s="183">
        <f>SUM(E9:E13)</f>
        <v>633652</v>
      </c>
      <c r="F8" s="183">
        <v>8800</v>
      </c>
      <c r="G8" s="180"/>
      <c r="H8" s="184"/>
    </row>
    <row r="9" spans="1:8" ht="48" customHeight="1" x14ac:dyDescent="0.3">
      <c r="A9" s="231"/>
      <c r="B9" s="233"/>
      <c r="C9" s="185" t="s">
        <v>98</v>
      </c>
      <c r="D9" s="186">
        <v>410000</v>
      </c>
      <c r="E9" s="186">
        <v>400272</v>
      </c>
      <c r="F9" s="187"/>
      <c r="G9" s="180">
        <f t="shared" ref="G9:G60" si="0">D9-E9</f>
        <v>9728</v>
      </c>
      <c r="H9" s="188" t="s">
        <v>268</v>
      </c>
    </row>
    <row r="10" spans="1:8" ht="63" customHeight="1" x14ac:dyDescent="0.3">
      <c r="A10" s="231"/>
      <c r="B10" s="234"/>
      <c r="C10" s="185" t="s">
        <v>119</v>
      </c>
      <c r="D10" s="186">
        <v>120000</v>
      </c>
      <c r="E10" s="186">
        <v>109728</v>
      </c>
      <c r="F10" s="187"/>
      <c r="G10" s="180">
        <f t="shared" si="0"/>
        <v>10272</v>
      </c>
      <c r="H10" s="188" t="s">
        <v>266</v>
      </c>
    </row>
    <row r="11" spans="1:8" ht="35.25" customHeight="1" x14ac:dyDescent="0.3">
      <c r="A11" s="231"/>
      <c r="B11" s="234"/>
      <c r="C11" s="189" t="s">
        <v>5</v>
      </c>
      <c r="D11" s="186">
        <v>42000</v>
      </c>
      <c r="E11" s="186">
        <v>51000</v>
      </c>
      <c r="F11" s="187">
        <v>9000</v>
      </c>
      <c r="G11" s="180"/>
      <c r="H11" s="188" t="s">
        <v>267</v>
      </c>
    </row>
    <row r="12" spans="1:8" ht="81.75" customHeight="1" x14ac:dyDescent="0.3">
      <c r="A12" s="231"/>
      <c r="B12" s="234"/>
      <c r="C12" s="189" t="s">
        <v>19</v>
      </c>
      <c r="D12" s="186">
        <v>51000</v>
      </c>
      <c r="E12" s="186">
        <v>70800</v>
      </c>
      <c r="F12" s="187">
        <v>19800</v>
      </c>
      <c r="G12" s="180"/>
      <c r="H12" s="188" t="s">
        <v>265</v>
      </c>
    </row>
    <row r="13" spans="1:8" ht="100.5" customHeight="1" x14ac:dyDescent="0.3">
      <c r="A13" s="231"/>
      <c r="B13" s="235"/>
      <c r="C13" s="185" t="s">
        <v>102</v>
      </c>
      <c r="D13" s="190">
        <v>1852</v>
      </c>
      <c r="E13" s="190">
        <v>1852</v>
      </c>
      <c r="F13" s="187"/>
      <c r="G13" s="180"/>
      <c r="H13" s="188" t="s">
        <v>259</v>
      </c>
    </row>
    <row r="14" spans="1:8" ht="24.75" customHeight="1" x14ac:dyDescent="0.3">
      <c r="A14" s="231"/>
      <c r="B14" s="185" t="s">
        <v>115</v>
      </c>
      <c r="C14" s="185"/>
      <c r="D14" s="183">
        <f>SUM(D15:D16)</f>
        <v>3674</v>
      </c>
      <c r="E14" s="183">
        <f>SUM(E15:E16)</f>
        <v>2478</v>
      </c>
      <c r="F14" s="187"/>
      <c r="G14" s="180">
        <f t="shared" si="0"/>
        <v>1196</v>
      </c>
      <c r="H14" s="184"/>
    </row>
    <row r="15" spans="1:8" ht="52.5" customHeight="1" x14ac:dyDescent="0.3">
      <c r="A15" s="231"/>
      <c r="B15" s="239"/>
      <c r="C15" s="185" t="s">
        <v>129</v>
      </c>
      <c r="D15" s="190">
        <v>2914</v>
      </c>
      <c r="E15" s="190">
        <v>1718</v>
      </c>
      <c r="F15" s="187"/>
      <c r="G15" s="180">
        <f t="shared" si="0"/>
        <v>1196</v>
      </c>
      <c r="H15" s="188" t="s">
        <v>286</v>
      </c>
    </row>
    <row r="16" spans="1:8" ht="49.5" customHeight="1" x14ac:dyDescent="0.3">
      <c r="A16" s="231"/>
      <c r="B16" s="239"/>
      <c r="C16" s="185" t="s">
        <v>124</v>
      </c>
      <c r="D16" s="190">
        <v>760</v>
      </c>
      <c r="E16" s="190">
        <v>760</v>
      </c>
      <c r="F16" s="187"/>
      <c r="G16" s="180"/>
      <c r="H16" s="188" t="s">
        <v>260</v>
      </c>
    </row>
    <row r="17" spans="1:8" ht="29.25" customHeight="1" x14ac:dyDescent="0.3">
      <c r="A17" s="231"/>
      <c r="B17" s="185" t="s">
        <v>50</v>
      </c>
      <c r="C17" s="185"/>
      <c r="D17" s="183">
        <f>SUM(D18:D23)</f>
        <v>79999</v>
      </c>
      <c r="E17" s="183">
        <f>SUM(E18:E23)</f>
        <v>73599</v>
      </c>
      <c r="F17" s="187"/>
      <c r="G17" s="180">
        <f t="shared" si="0"/>
        <v>6400</v>
      </c>
      <c r="H17" s="184"/>
    </row>
    <row r="18" spans="1:8" ht="72" customHeight="1" x14ac:dyDescent="0.3">
      <c r="A18" s="231"/>
      <c r="B18" s="233"/>
      <c r="C18" s="185" t="s">
        <v>87</v>
      </c>
      <c r="D18" s="186">
        <v>3100</v>
      </c>
      <c r="E18" s="186">
        <v>3100</v>
      </c>
      <c r="F18" s="187"/>
      <c r="G18" s="180"/>
      <c r="H18" s="188" t="s">
        <v>262</v>
      </c>
    </row>
    <row r="19" spans="1:8" ht="188.25" customHeight="1" x14ac:dyDescent="0.3">
      <c r="A19" s="231"/>
      <c r="B19" s="234"/>
      <c r="C19" s="189" t="s">
        <v>26</v>
      </c>
      <c r="D19" s="186">
        <v>23349</v>
      </c>
      <c r="E19" s="186">
        <v>23349</v>
      </c>
      <c r="F19" s="187"/>
      <c r="G19" s="180"/>
      <c r="H19" s="188" t="s">
        <v>283</v>
      </c>
    </row>
    <row r="20" spans="1:8" ht="126" customHeight="1" x14ac:dyDescent="0.3">
      <c r="A20" s="231"/>
      <c r="B20" s="234"/>
      <c r="C20" s="185" t="s">
        <v>110</v>
      </c>
      <c r="D20" s="186">
        <v>32160</v>
      </c>
      <c r="E20" s="186">
        <v>25560</v>
      </c>
      <c r="F20" s="187"/>
      <c r="G20" s="180">
        <f t="shared" si="0"/>
        <v>6600</v>
      </c>
      <c r="H20" s="188" t="s">
        <v>287</v>
      </c>
    </row>
    <row r="21" spans="1:8" ht="153" customHeight="1" x14ac:dyDescent="0.3">
      <c r="A21" s="231"/>
      <c r="B21" s="234"/>
      <c r="C21" s="185" t="s">
        <v>112</v>
      </c>
      <c r="D21" s="186">
        <v>8930</v>
      </c>
      <c r="E21" s="186">
        <v>9130</v>
      </c>
      <c r="F21" s="187">
        <v>200</v>
      </c>
      <c r="G21" s="180"/>
      <c r="H21" s="188" t="s">
        <v>282</v>
      </c>
    </row>
    <row r="22" spans="1:8" ht="49.5" customHeight="1" x14ac:dyDescent="0.3">
      <c r="A22" s="231"/>
      <c r="B22" s="234"/>
      <c r="C22" s="185" t="s">
        <v>108</v>
      </c>
      <c r="D22" s="186">
        <v>10800</v>
      </c>
      <c r="E22" s="186">
        <v>10800</v>
      </c>
      <c r="F22" s="187"/>
      <c r="G22" s="180"/>
      <c r="H22" s="188" t="s">
        <v>256</v>
      </c>
    </row>
    <row r="23" spans="1:8" ht="55.5" customHeight="1" x14ac:dyDescent="0.3">
      <c r="A23" s="232"/>
      <c r="B23" s="235"/>
      <c r="C23" s="185" t="s">
        <v>101</v>
      </c>
      <c r="D23" s="186">
        <v>1660</v>
      </c>
      <c r="E23" s="186">
        <v>1660</v>
      </c>
      <c r="F23" s="187"/>
      <c r="G23" s="180"/>
      <c r="H23" s="188" t="s">
        <v>251</v>
      </c>
    </row>
    <row r="24" spans="1:8" ht="24.75" customHeight="1" x14ac:dyDescent="0.3">
      <c r="A24" s="191" t="s">
        <v>122</v>
      </c>
      <c r="B24" s="185"/>
      <c r="C24" s="185"/>
      <c r="D24" s="183">
        <f>SUM(D26:D28)</f>
        <v>45560</v>
      </c>
      <c r="E24" s="183">
        <f>SUM(E26:E28)</f>
        <v>49418</v>
      </c>
      <c r="F24" s="187">
        <v>3858</v>
      </c>
      <c r="G24" s="180"/>
      <c r="H24" s="184"/>
    </row>
    <row r="25" spans="1:8" ht="24.75" customHeight="1" x14ac:dyDescent="0.3">
      <c r="A25" s="230"/>
      <c r="B25" s="185" t="s">
        <v>43</v>
      </c>
      <c r="C25" s="185"/>
      <c r="D25" s="183">
        <f>D26+D27+D28</f>
        <v>45560</v>
      </c>
      <c r="E25" s="183">
        <f>E26+E27+E28</f>
        <v>49418</v>
      </c>
      <c r="F25" s="187">
        <v>3858</v>
      </c>
      <c r="G25" s="180"/>
      <c r="H25" s="184"/>
    </row>
    <row r="26" spans="1:8" ht="24.75" customHeight="1" x14ac:dyDescent="0.3">
      <c r="A26" s="231"/>
      <c r="B26" s="233"/>
      <c r="C26" s="185" t="s">
        <v>43</v>
      </c>
      <c r="D26" s="190">
        <v>10000</v>
      </c>
      <c r="E26" s="190">
        <v>13858</v>
      </c>
      <c r="F26" s="187">
        <v>3858</v>
      </c>
      <c r="G26" s="180"/>
      <c r="H26" s="188" t="s">
        <v>271</v>
      </c>
    </row>
    <row r="27" spans="1:8" ht="27" customHeight="1" x14ac:dyDescent="0.3">
      <c r="A27" s="231"/>
      <c r="B27" s="234"/>
      <c r="C27" s="185" t="s">
        <v>127</v>
      </c>
      <c r="D27" s="186">
        <v>3600</v>
      </c>
      <c r="E27" s="186">
        <v>3600</v>
      </c>
      <c r="F27" s="187"/>
      <c r="G27" s="180">
        <f t="shared" si="0"/>
        <v>0</v>
      </c>
      <c r="H27" s="188" t="s">
        <v>242</v>
      </c>
    </row>
    <row r="28" spans="1:8" ht="90" customHeight="1" x14ac:dyDescent="0.3">
      <c r="A28" s="232"/>
      <c r="B28" s="235"/>
      <c r="C28" s="185" t="s">
        <v>109</v>
      </c>
      <c r="D28" s="186">
        <v>31960</v>
      </c>
      <c r="E28" s="186">
        <v>31960</v>
      </c>
      <c r="F28" s="187"/>
      <c r="G28" s="180">
        <f t="shared" si="0"/>
        <v>0</v>
      </c>
      <c r="H28" s="188" t="s">
        <v>250</v>
      </c>
    </row>
    <row r="29" spans="1:8" ht="24.75" customHeight="1" x14ac:dyDescent="0.3">
      <c r="A29" s="191" t="s">
        <v>55</v>
      </c>
      <c r="B29" s="185"/>
      <c r="C29" s="185"/>
      <c r="D29" s="183">
        <f>D30+D36+D45</f>
        <v>254440</v>
      </c>
      <c r="E29" s="183">
        <f>E30+E36+E45</f>
        <v>249230</v>
      </c>
      <c r="F29" s="187"/>
      <c r="G29" s="180">
        <f t="shared" si="0"/>
        <v>5210</v>
      </c>
      <c r="H29" s="184"/>
    </row>
    <row r="30" spans="1:8" ht="24.75" customHeight="1" x14ac:dyDescent="0.3">
      <c r="A30" s="230"/>
      <c r="B30" s="185" t="s">
        <v>50</v>
      </c>
      <c r="C30" s="185"/>
      <c r="D30" s="183">
        <f>SUM(D31:D35)</f>
        <v>147800</v>
      </c>
      <c r="E30" s="183">
        <f>SUM(E31:E35)</f>
        <v>159406</v>
      </c>
      <c r="F30" s="187">
        <v>11606</v>
      </c>
      <c r="G30" s="180"/>
      <c r="H30" s="184"/>
    </row>
    <row r="31" spans="1:8" ht="121.5" customHeight="1" x14ac:dyDescent="0.3">
      <c r="A31" s="231"/>
      <c r="B31" s="227"/>
      <c r="C31" s="189" t="s">
        <v>0</v>
      </c>
      <c r="D31" s="186">
        <v>94050</v>
      </c>
      <c r="E31" s="186">
        <v>108418</v>
      </c>
      <c r="F31" s="187">
        <v>14368</v>
      </c>
      <c r="G31" s="180"/>
      <c r="H31" s="192" t="s">
        <v>272</v>
      </c>
    </row>
    <row r="32" spans="1:8" ht="76.5" customHeight="1" x14ac:dyDescent="0.3">
      <c r="A32" s="231"/>
      <c r="B32" s="228"/>
      <c r="C32" s="189" t="s">
        <v>2</v>
      </c>
      <c r="D32" s="186">
        <v>17204</v>
      </c>
      <c r="E32" s="186">
        <v>16992</v>
      </c>
      <c r="F32" s="187"/>
      <c r="G32" s="180">
        <f t="shared" si="0"/>
        <v>212</v>
      </c>
      <c r="H32" s="193" t="s">
        <v>288</v>
      </c>
    </row>
    <row r="33" spans="1:253" ht="50.25" customHeight="1" x14ac:dyDescent="0.3">
      <c r="A33" s="231"/>
      <c r="B33" s="228"/>
      <c r="C33" s="189" t="s">
        <v>121</v>
      </c>
      <c r="D33" s="186">
        <v>14446</v>
      </c>
      <c r="E33" s="186">
        <v>14446</v>
      </c>
      <c r="F33" s="187"/>
      <c r="G33" s="180"/>
      <c r="H33" s="192" t="s">
        <v>247</v>
      </c>
    </row>
    <row r="34" spans="1:253" ht="99" customHeight="1" x14ac:dyDescent="0.3">
      <c r="A34" s="231"/>
      <c r="B34" s="228"/>
      <c r="C34" s="185" t="s">
        <v>125</v>
      </c>
      <c r="D34" s="186">
        <v>8800</v>
      </c>
      <c r="E34" s="186">
        <v>6250</v>
      </c>
      <c r="F34" s="187"/>
      <c r="G34" s="180">
        <f t="shared" si="0"/>
        <v>2550</v>
      </c>
      <c r="H34" s="188" t="s">
        <v>285</v>
      </c>
    </row>
    <row r="35" spans="1:253" ht="89.25" customHeight="1" x14ac:dyDescent="0.3">
      <c r="A35" s="231"/>
      <c r="B35" s="229"/>
      <c r="C35" s="185" t="s">
        <v>89</v>
      </c>
      <c r="D35" s="186">
        <v>13300</v>
      </c>
      <c r="E35" s="186">
        <v>13300</v>
      </c>
      <c r="F35" s="187"/>
      <c r="G35" s="180"/>
      <c r="H35" s="194" t="s">
        <v>252</v>
      </c>
    </row>
    <row r="36" spans="1:253" ht="24.75" customHeight="1" x14ac:dyDescent="0.3">
      <c r="A36" s="231"/>
      <c r="B36" s="195" t="s">
        <v>40</v>
      </c>
      <c r="C36" s="185"/>
      <c r="D36" s="186">
        <f>SUM(D37:D44)</f>
        <v>39586</v>
      </c>
      <c r="E36" s="186">
        <f>SUM(E37:E44)</f>
        <v>32386</v>
      </c>
      <c r="F36" s="187"/>
      <c r="G36" s="180">
        <f t="shared" si="0"/>
        <v>7200</v>
      </c>
      <c r="H36" s="184"/>
    </row>
    <row r="37" spans="1:253" ht="44.25" customHeight="1" x14ac:dyDescent="0.3">
      <c r="A37" s="231"/>
      <c r="B37" s="248"/>
      <c r="C37" s="185" t="s">
        <v>90</v>
      </c>
      <c r="D37" s="186">
        <v>1891</v>
      </c>
      <c r="E37" s="186">
        <v>1891</v>
      </c>
      <c r="F37" s="187"/>
      <c r="G37" s="180"/>
      <c r="H37" s="188" t="s">
        <v>243</v>
      </c>
    </row>
    <row r="38" spans="1:253" ht="74.25" customHeight="1" x14ac:dyDescent="0.3">
      <c r="A38" s="231"/>
      <c r="B38" s="249"/>
      <c r="C38" s="185" t="s">
        <v>118</v>
      </c>
      <c r="D38" s="186">
        <v>4336</v>
      </c>
      <c r="E38" s="186">
        <v>4336</v>
      </c>
      <c r="F38" s="187"/>
      <c r="G38" s="180"/>
      <c r="H38" s="188" t="s">
        <v>244</v>
      </c>
    </row>
    <row r="39" spans="1:253" ht="42.75" customHeight="1" x14ac:dyDescent="0.3">
      <c r="A39" s="231"/>
      <c r="B39" s="249"/>
      <c r="C39" s="185" t="s">
        <v>111</v>
      </c>
      <c r="D39" s="186">
        <v>6060</v>
      </c>
      <c r="E39" s="186">
        <v>6060</v>
      </c>
      <c r="F39" s="187"/>
      <c r="G39" s="180"/>
      <c r="H39" s="188" t="s">
        <v>245</v>
      </c>
    </row>
    <row r="40" spans="1:253" ht="62.25" customHeight="1" x14ac:dyDescent="0.3">
      <c r="A40" s="231"/>
      <c r="B40" s="249"/>
      <c r="C40" s="185" t="s">
        <v>99</v>
      </c>
      <c r="D40" s="186">
        <v>12000</v>
      </c>
      <c r="E40" s="186">
        <v>4800</v>
      </c>
      <c r="F40" s="187"/>
      <c r="G40" s="180">
        <f t="shared" si="0"/>
        <v>7200</v>
      </c>
      <c r="H40" s="188" t="s">
        <v>289</v>
      </c>
    </row>
    <row r="41" spans="1:253" ht="51.75" customHeight="1" x14ac:dyDescent="0.3">
      <c r="A41" s="231"/>
      <c r="B41" s="249"/>
      <c r="C41" s="185" t="s">
        <v>100</v>
      </c>
      <c r="D41" s="186">
        <v>1655</v>
      </c>
      <c r="E41" s="186">
        <v>1655</v>
      </c>
      <c r="F41" s="187"/>
      <c r="G41" s="180"/>
      <c r="H41" s="188" t="s">
        <v>246</v>
      </c>
    </row>
    <row r="42" spans="1:253" ht="33.75" customHeight="1" x14ac:dyDescent="0.3">
      <c r="A42" s="231"/>
      <c r="B42" s="249"/>
      <c r="C42" s="185" t="s">
        <v>172</v>
      </c>
      <c r="D42" s="186">
        <v>6600</v>
      </c>
      <c r="E42" s="186">
        <v>6600</v>
      </c>
      <c r="F42" s="187"/>
      <c r="G42" s="180"/>
      <c r="H42" s="188" t="s">
        <v>248</v>
      </c>
    </row>
    <row r="43" spans="1:253" ht="45" customHeight="1" x14ac:dyDescent="0.3">
      <c r="A43" s="231"/>
      <c r="B43" s="249"/>
      <c r="C43" s="185" t="s">
        <v>120</v>
      </c>
      <c r="D43" s="186">
        <v>5040</v>
      </c>
      <c r="E43" s="186">
        <v>5040</v>
      </c>
      <c r="F43" s="187"/>
      <c r="G43" s="180"/>
      <c r="H43" s="188" t="s">
        <v>257</v>
      </c>
    </row>
    <row r="44" spans="1:253" ht="30.75" customHeight="1" x14ac:dyDescent="0.3">
      <c r="A44" s="231"/>
      <c r="B44" s="250"/>
      <c r="C44" s="185" t="s">
        <v>128</v>
      </c>
      <c r="D44" s="186">
        <v>2004</v>
      </c>
      <c r="E44" s="186">
        <v>2004</v>
      </c>
      <c r="F44" s="187"/>
      <c r="G44" s="180"/>
      <c r="H44" s="188" t="s">
        <v>258</v>
      </c>
      <c r="IQ44" s="114"/>
      <c r="IR44" s="114"/>
      <c r="IS44" s="114"/>
    </row>
    <row r="45" spans="1:253" ht="24.75" customHeight="1" x14ac:dyDescent="0.3">
      <c r="A45" s="231"/>
      <c r="B45" s="196" t="s">
        <v>55</v>
      </c>
      <c r="C45" s="185" t="s">
        <v>53</v>
      </c>
      <c r="D45" s="186">
        <f>SUM(D46:D54)</f>
        <v>67054</v>
      </c>
      <c r="E45" s="186">
        <f>SUM(E46:E54)</f>
        <v>57438</v>
      </c>
      <c r="F45" s="187"/>
      <c r="G45" s="180">
        <f t="shared" si="0"/>
        <v>9616</v>
      </c>
      <c r="H45" s="188"/>
      <c r="IQ45" s="114"/>
      <c r="IR45" s="114"/>
      <c r="IS45" s="114"/>
    </row>
    <row r="46" spans="1:253" ht="54" customHeight="1" x14ac:dyDescent="0.3">
      <c r="A46" s="231"/>
      <c r="B46" s="248"/>
      <c r="C46" s="189" t="s">
        <v>9</v>
      </c>
      <c r="D46" s="186">
        <v>6952</v>
      </c>
      <c r="E46" s="186">
        <v>6952</v>
      </c>
      <c r="F46" s="187"/>
      <c r="G46" s="180"/>
      <c r="H46" s="188" t="s">
        <v>253</v>
      </c>
      <c r="J46" s="197"/>
      <c r="IQ46" s="114"/>
      <c r="IR46" s="114"/>
      <c r="IS46" s="114"/>
    </row>
    <row r="47" spans="1:253" ht="36" customHeight="1" x14ac:dyDescent="0.3">
      <c r="A47" s="231"/>
      <c r="B47" s="249"/>
      <c r="C47" s="189" t="s">
        <v>8</v>
      </c>
      <c r="D47" s="186">
        <v>5040</v>
      </c>
      <c r="E47" s="186">
        <v>5040</v>
      </c>
      <c r="F47" s="187"/>
      <c r="G47" s="180"/>
      <c r="H47" s="188" t="s">
        <v>254</v>
      </c>
      <c r="J47" s="197"/>
      <c r="IQ47" s="114"/>
      <c r="IR47" s="114"/>
      <c r="IS47" s="114"/>
    </row>
    <row r="48" spans="1:253" ht="78" customHeight="1" x14ac:dyDescent="0.3">
      <c r="A48" s="231"/>
      <c r="B48" s="249"/>
      <c r="C48" s="189" t="s">
        <v>181</v>
      </c>
      <c r="D48" s="186">
        <v>12947</v>
      </c>
      <c r="E48" s="186">
        <v>8400</v>
      </c>
      <c r="F48" s="187"/>
      <c r="G48" s="180">
        <f t="shared" si="0"/>
        <v>4547</v>
      </c>
      <c r="H48" s="188" t="s">
        <v>281</v>
      </c>
      <c r="J48" s="197"/>
      <c r="IQ48" s="114"/>
      <c r="IR48" s="114"/>
      <c r="IS48" s="114"/>
    </row>
    <row r="49" spans="1:253" ht="46.5" customHeight="1" x14ac:dyDescent="0.3">
      <c r="A49" s="231"/>
      <c r="B49" s="249"/>
      <c r="C49" s="189" t="s">
        <v>6</v>
      </c>
      <c r="D49" s="186">
        <v>1366</v>
      </c>
      <c r="E49" s="186">
        <v>1366</v>
      </c>
      <c r="F49" s="187"/>
      <c r="G49" s="180"/>
      <c r="H49" s="188" t="s">
        <v>199</v>
      </c>
      <c r="J49" s="197"/>
      <c r="IQ49" s="114"/>
      <c r="IR49" s="114"/>
      <c r="IS49" s="114"/>
    </row>
    <row r="50" spans="1:253" ht="36" customHeight="1" x14ac:dyDescent="0.3">
      <c r="A50" s="231"/>
      <c r="B50" s="249"/>
      <c r="C50" s="189" t="s">
        <v>14</v>
      </c>
      <c r="D50" s="186">
        <v>3600</v>
      </c>
      <c r="E50" s="186">
        <v>3600</v>
      </c>
      <c r="F50" s="187"/>
      <c r="G50" s="180"/>
      <c r="H50" s="188" t="s">
        <v>255</v>
      </c>
      <c r="J50" s="197"/>
      <c r="IQ50" s="114"/>
      <c r="IR50" s="114"/>
      <c r="IS50" s="114"/>
    </row>
    <row r="51" spans="1:253" ht="36" customHeight="1" x14ac:dyDescent="0.3">
      <c r="A51" s="231"/>
      <c r="B51" s="249"/>
      <c r="C51" s="189" t="s">
        <v>7</v>
      </c>
      <c r="D51" s="186">
        <v>500</v>
      </c>
      <c r="E51" s="186">
        <v>500</v>
      </c>
      <c r="F51" s="187"/>
      <c r="G51" s="180"/>
      <c r="H51" s="188" t="s">
        <v>3</v>
      </c>
      <c r="J51" s="197"/>
      <c r="IQ51" s="114"/>
      <c r="IR51" s="114"/>
      <c r="IS51" s="114"/>
    </row>
    <row r="52" spans="1:253" ht="36" customHeight="1" x14ac:dyDescent="0.3">
      <c r="A52" s="231"/>
      <c r="B52" s="249"/>
      <c r="C52" s="189" t="s">
        <v>18</v>
      </c>
      <c r="D52" s="198">
        <v>34769</v>
      </c>
      <c r="E52" s="198">
        <v>30000</v>
      </c>
      <c r="F52" s="187"/>
      <c r="G52" s="180">
        <f t="shared" si="0"/>
        <v>4769</v>
      </c>
      <c r="H52" s="193" t="s">
        <v>284</v>
      </c>
      <c r="J52" s="197"/>
      <c r="IQ52" s="114"/>
      <c r="IR52" s="114"/>
      <c r="IS52" s="114"/>
    </row>
    <row r="53" spans="1:253" ht="36" customHeight="1" x14ac:dyDescent="0.3">
      <c r="A53" s="231"/>
      <c r="B53" s="249"/>
      <c r="C53" s="189" t="s">
        <v>103</v>
      </c>
      <c r="D53" s="186">
        <v>600</v>
      </c>
      <c r="E53" s="186">
        <v>300</v>
      </c>
      <c r="F53" s="187"/>
      <c r="G53" s="180">
        <f t="shared" si="0"/>
        <v>300</v>
      </c>
      <c r="H53" s="193" t="s">
        <v>290</v>
      </c>
      <c r="J53" s="197"/>
      <c r="IQ53" s="114"/>
      <c r="IR53" s="114"/>
      <c r="IS53" s="114"/>
    </row>
    <row r="54" spans="1:253" ht="53.25" customHeight="1" x14ac:dyDescent="0.3">
      <c r="A54" s="232"/>
      <c r="B54" s="250"/>
      <c r="C54" s="189" t="s">
        <v>130</v>
      </c>
      <c r="D54" s="186">
        <v>1280</v>
      </c>
      <c r="E54" s="186">
        <v>1280</v>
      </c>
      <c r="F54" s="187"/>
      <c r="G54" s="180">
        <f t="shared" si="0"/>
        <v>0</v>
      </c>
      <c r="H54" s="193" t="s">
        <v>249</v>
      </c>
      <c r="J54" s="197"/>
      <c r="IQ54" s="114"/>
      <c r="IR54" s="114"/>
      <c r="IS54" s="114"/>
    </row>
    <row r="55" spans="1:253" ht="24.75" customHeight="1" x14ac:dyDescent="0.3">
      <c r="A55" s="191" t="s">
        <v>41</v>
      </c>
      <c r="B55" s="185"/>
      <c r="C55" s="185"/>
      <c r="D55" s="186">
        <f>D56</f>
        <v>1000</v>
      </c>
      <c r="E55" s="186">
        <f>E56</f>
        <v>2000</v>
      </c>
      <c r="F55" s="187">
        <v>1000</v>
      </c>
      <c r="G55" s="180"/>
      <c r="H55" s="184"/>
    </row>
    <row r="56" spans="1:253" ht="24.75" customHeight="1" x14ac:dyDescent="0.3">
      <c r="A56" s="236"/>
      <c r="B56" s="185" t="s">
        <v>41</v>
      </c>
      <c r="C56" s="185"/>
      <c r="D56" s="186">
        <f>D57</f>
        <v>1000</v>
      </c>
      <c r="E56" s="186">
        <f>E57</f>
        <v>2000</v>
      </c>
      <c r="F56" s="187">
        <v>1000</v>
      </c>
      <c r="G56" s="180"/>
      <c r="H56" s="184"/>
    </row>
    <row r="57" spans="1:253" ht="24.75" customHeight="1" x14ac:dyDescent="0.3">
      <c r="A57" s="236"/>
      <c r="B57" s="185"/>
      <c r="C57" s="185" t="s">
        <v>41</v>
      </c>
      <c r="D57" s="186">
        <v>1000</v>
      </c>
      <c r="E57" s="186">
        <v>2000</v>
      </c>
      <c r="F57" s="187">
        <v>1000</v>
      </c>
      <c r="G57" s="180"/>
      <c r="H57" s="184"/>
    </row>
    <row r="58" spans="1:253" ht="24.75" customHeight="1" x14ac:dyDescent="0.3">
      <c r="A58" s="191" t="s">
        <v>52</v>
      </c>
      <c r="B58" s="185"/>
      <c r="C58" s="185"/>
      <c r="D58" s="186">
        <f>D59</f>
        <v>37243</v>
      </c>
      <c r="E58" s="186">
        <f>E59</f>
        <v>3496</v>
      </c>
      <c r="F58" s="187"/>
      <c r="G58" s="180">
        <f t="shared" si="0"/>
        <v>33747</v>
      </c>
      <c r="H58" s="184"/>
    </row>
    <row r="59" spans="1:253" ht="24.75" customHeight="1" x14ac:dyDescent="0.3">
      <c r="A59" s="236"/>
      <c r="B59" s="185" t="s">
        <v>52</v>
      </c>
      <c r="C59" s="185"/>
      <c r="D59" s="186">
        <f>D60</f>
        <v>37243</v>
      </c>
      <c r="E59" s="186">
        <f>E60</f>
        <v>3496</v>
      </c>
      <c r="F59" s="187"/>
      <c r="G59" s="180">
        <f t="shared" si="0"/>
        <v>33747</v>
      </c>
      <c r="H59" s="184"/>
    </row>
    <row r="60" spans="1:253" ht="24.75" customHeight="1" thickBot="1" x14ac:dyDescent="0.35">
      <c r="A60" s="237"/>
      <c r="B60" s="199"/>
      <c r="C60" s="199" t="s">
        <v>241</v>
      </c>
      <c r="D60" s="200">
        <v>37243</v>
      </c>
      <c r="E60" s="200">
        <v>3496</v>
      </c>
      <c r="F60" s="201"/>
      <c r="G60" s="202">
        <f t="shared" si="0"/>
        <v>33747</v>
      </c>
      <c r="H60" s="203"/>
    </row>
    <row r="61" spans="1:253" x14ac:dyDescent="0.3">
      <c r="A61" s="204"/>
      <c r="B61" s="205"/>
      <c r="C61" s="205"/>
      <c r="D61" s="204"/>
      <c r="E61" s="204"/>
      <c r="F61" s="204"/>
      <c r="G61" s="204"/>
      <c r="H61" s="206"/>
    </row>
    <row r="62" spans="1:253" x14ac:dyDescent="0.3">
      <c r="A62" s="204"/>
      <c r="B62" s="205"/>
      <c r="C62" s="205"/>
      <c r="D62" s="204"/>
      <c r="E62" s="204"/>
      <c r="F62" s="204"/>
      <c r="G62" s="204"/>
      <c r="H62" s="206"/>
    </row>
  </sheetData>
  <mergeCells count="18">
    <mergeCell ref="A56:A57"/>
    <mergeCell ref="A59:A60"/>
    <mergeCell ref="A1:H1"/>
    <mergeCell ref="D4:E4"/>
    <mergeCell ref="B15:B16"/>
    <mergeCell ref="A4:C4"/>
    <mergeCell ref="F4:G4"/>
    <mergeCell ref="H4:H5"/>
    <mergeCell ref="A6:C6"/>
    <mergeCell ref="B9:B13"/>
    <mergeCell ref="B46:B54"/>
    <mergeCell ref="A30:A54"/>
    <mergeCell ref="B37:B44"/>
    <mergeCell ref="B31:B35"/>
    <mergeCell ref="A8:A23"/>
    <mergeCell ref="B18:B23"/>
    <mergeCell ref="B26:B28"/>
    <mergeCell ref="A25:A28"/>
  </mergeCells>
  <phoneticPr fontId="19" type="noConversion"/>
  <printOptions horizontalCentered="1"/>
  <pageMargins left="0.70866141732283472" right="0.39370078740157483" top="0.74803149606299213" bottom="0.47244094488188981" header="0.31496062992125984" footer="0.31496062992125984"/>
  <pageSetup paperSize="9" scale="84" fitToHeight="6" orientation="landscape" r:id="rId1"/>
  <headerFooter>
    <oddFooter>&amp;R아동양육시설 성애원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U20"/>
  <sheetViews>
    <sheetView zoomScaleNormal="100" workbookViewId="0">
      <pane xSplit="3" ySplit="5" topLeftCell="D6" activePane="bottomRight" state="frozen"/>
      <selection pane="topRight"/>
      <selection pane="bottomLeft"/>
      <selection pane="bottomRight" activeCell="E19" sqref="E19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4.5" bestFit="1" customWidth="1"/>
    <col min="6" max="6" width="15.75" bestFit="1" customWidth="1"/>
    <col min="7" max="7" width="15.125" bestFit="1" customWidth="1"/>
    <col min="8" max="8" width="7.75" style="6" customWidth="1"/>
    <col min="9" max="9" width="16.125" customWidth="1"/>
    <col min="10" max="10" width="13.25" bestFit="1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1" ht="35.1" customHeight="1" x14ac:dyDescent="0.3">
      <c r="A1" s="260" t="s">
        <v>195</v>
      </c>
      <c r="B1" s="260"/>
      <c r="C1" s="260"/>
      <c r="D1" s="261"/>
      <c r="E1" s="260"/>
      <c r="F1" s="260"/>
      <c r="G1" s="260"/>
      <c r="H1" s="261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1"/>
    </row>
    <row r="2" spans="1:21" ht="24.75" customHeight="1" x14ac:dyDescent="0.3">
      <c r="A2" s="262" t="s">
        <v>84</v>
      </c>
      <c r="B2" s="262"/>
      <c r="C2" s="97"/>
      <c r="E2" s="4"/>
      <c r="F2" s="4"/>
      <c r="G2" s="5"/>
      <c r="I2" s="96"/>
      <c r="J2" s="5"/>
      <c r="K2" s="7" t="s">
        <v>123</v>
      </c>
      <c r="L2" s="7"/>
      <c r="M2" s="5"/>
      <c r="N2" s="5"/>
      <c r="O2" s="5"/>
      <c r="P2" s="5"/>
      <c r="Q2" s="5"/>
      <c r="R2" s="5"/>
      <c r="S2" s="5"/>
      <c r="U2" s="7" t="s">
        <v>84</v>
      </c>
    </row>
    <row r="3" spans="1:21" ht="24" customHeight="1" x14ac:dyDescent="0.3">
      <c r="A3" s="251" t="s">
        <v>78</v>
      </c>
      <c r="B3" s="251" t="s">
        <v>74</v>
      </c>
      <c r="C3" s="251" t="s">
        <v>73</v>
      </c>
      <c r="D3" s="251" t="s">
        <v>72</v>
      </c>
      <c r="E3" s="254" t="s">
        <v>64</v>
      </c>
      <c r="F3" s="255"/>
      <c r="G3" s="265" t="s">
        <v>149</v>
      </c>
      <c r="H3" s="272" t="s">
        <v>144</v>
      </c>
      <c r="I3" s="273"/>
      <c r="J3" s="265" t="s">
        <v>159</v>
      </c>
      <c r="K3" s="258" t="s">
        <v>69</v>
      </c>
      <c r="L3" s="258" t="s">
        <v>132</v>
      </c>
      <c r="M3" s="267"/>
      <c r="N3" s="268"/>
      <c r="O3" s="268"/>
      <c r="P3" s="268"/>
      <c r="Q3" s="268"/>
      <c r="R3" s="268"/>
      <c r="S3" s="269"/>
      <c r="T3" s="270"/>
      <c r="U3" s="263"/>
    </row>
    <row r="4" spans="1:21" ht="24" customHeight="1" x14ac:dyDescent="0.3">
      <c r="A4" s="252"/>
      <c r="B4" s="252"/>
      <c r="C4" s="252"/>
      <c r="D4" s="252"/>
      <c r="E4" s="256"/>
      <c r="F4" s="257"/>
      <c r="G4" s="266"/>
      <c r="H4" s="8" t="s">
        <v>63</v>
      </c>
      <c r="I4" s="9" t="s">
        <v>49</v>
      </c>
      <c r="J4" s="266"/>
      <c r="K4" s="259"/>
      <c r="L4" s="259"/>
      <c r="M4" s="9" t="s">
        <v>162</v>
      </c>
      <c r="N4" s="10" t="s">
        <v>142</v>
      </c>
      <c r="O4" s="9" t="s">
        <v>151</v>
      </c>
      <c r="P4" s="9" t="s">
        <v>146</v>
      </c>
      <c r="Q4" s="9" t="s">
        <v>154</v>
      </c>
      <c r="R4" s="9" t="s">
        <v>145</v>
      </c>
      <c r="S4" s="10" t="s">
        <v>160</v>
      </c>
      <c r="T4" s="271"/>
      <c r="U4" s="264"/>
    </row>
    <row r="5" spans="1:21" ht="30" customHeight="1" x14ac:dyDescent="0.3">
      <c r="A5" s="253"/>
      <c r="B5" s="253"/>
      <c r="C5" s="253"/>
      <c r="D5" s="253"/>
      <c r="E5" s="11">
        <f t="shared" ref="E5:U5" si="0">SUM(E6:E17)</f>
        <v>32579400</v>
      </c>
      <c r="F5" s="11">
        <f t="shared" si="0"/>
        <v>390952800</v>
      </c>
      <c r="G5" s="11">
        <f t="shared" si="0"/>
        <v>39095280</v>
      </c>
      <c r="H5" s="11">
        <f t="shared" si="0"/>
        <v>286</v>
      </c>
      <c r="I5" s="11">
        <f t="shared" si="0"/>
        <v>61550250</v>
      </c>
      <c r="J5" s="11">
        <f t="shared" si="0"/>
        <v>7680000</v>
      </c>
      <c r="K5" s="73">
        <f t="shared" si="0"/>
        <v>499278330</v>
      </c>
      <c r="L5" s="73" t="e">
        <f t="shared" si="0"/>
        <v>#REF!</v>
      </c>
      <c r="M5" s="11" t="e">
        <f t="shared" si="0"/>
        <v>#REF!</v>
      </c>
      <c r="N5" s="11" t="e">
        <f t="shared" si="0"/>
        <v>#REF!</v>
      </c>
      <c r="O5" s="11" t="e">
        <f t="shared" si="0"/>
        <v>#REF!</v>
      </c>
      <c r="P5" s="11" t="e">
        <f t="shared" si="0"/>
        <v>#REF!</v>
      </c>
      <c r="Q5" s="11" t="e">
        <f t="shared" si="0"/>
        <v>#REF!</v>
      </c>
      <c r="R5" s="11">
        <f t="shared" si="0"/>
        <v>38203490</v>
      </c>
      <c r="S5" s="11" t="e">
        <f t="shared" si="0"/>
        <v>#REF!</v>
      </c>
      <c r="T5" s="11" t="e">
        <f t="shared" si="0"/>
        <v>#REF!</v>
      </c>
      <c r="U5" s="12" t="e">
        <f t="shared" si="0"/>
        <v>#REF!</v>
      </c>
    </row>
    <row r="6" spans="1:21" ht="30" customHeight="1" x14ac:dyDescent="0.3">
      <c r="A6" s="13">
        <v>1</v>
      </c>
      <c r="B6" s="13" t="s">
        <v>167</v>
      </c>
      <c r="C6" s="13" t="s">
        <v>81</v>
      </c>
      <c r="D6" s="14">
        <v>22</v>
      </c>
      <c r="E6" s="15">
        <v>4449700</v>
      </c>
      <c r="F6" s="15">
        <f t="shared" ref="F6:F17" si="1">E6*12</f>
        <v>53396400</v>
      </c>
      <c r="G6" s="15">
        <f t="shared" ref="G6:G17" si="2">E6*120%</f>
        <v>5339640</v>
      </c>
      <c r="H6" s="15"/>
      <c r="I6" s="15"/>
      <c r="J6" s="15">
        <f>80000*12</f>
        <v>960000</v>
      </c>
      <c r="K6" s="74">
        <f t="shared" ref="K6:K17" si="3">F6+G6+I6+J6</f>
        <v>59696040</v>
      </c>
      <c r="L6" s="74" t="e">
        <f>#REF!+120000</f>
        <v>#REF!</v>
      </c>
      <c r="M6" s="16" t="e">
        <f t="shared" ref="M6:M17" si="4">ROUNDDOWN(L6*2.995%,-1)</f>
        <v>#REF!</v>
      </c>
      <c r="N6" s="16" t="e">
        <f t="shared" ref="N6:N17" si="5">ROUNDDOWN(M6*6.55%,-1)</f>
        <v>#REF!</v>
      </c>
      <c r="O6" s="16" t="e">
        <f t="shared" ref="O6:O17" si="6">ROUNDDOWN(L6*0.045,-1)</f>
        <v>#REF!</v>
      </c>
      <c r="P6" s="16" t="e">
        <f t="shared" ref="P6:P17" si="7">ROUNDDOWN(L6*0.0056,-1)</f>
        <v>#REF!</v>
      </c>
      <c r="Q6" s="16" t="e">
        <f t="shared" ref="Q6:Q17" si="8">ROUNDDOWN(L6*0.009,-1)</f>
        <v>#REF!</v>
      </c>
      <c r="R6" s="16">
        <f t="shared" ref="R6:R17" si="9">ROUNDDOWN(K6/12,-1)</f>
        <v>4974670</v>
      </c>
      <c r="S6" s="16" t="e">
        <f t="shared" ref="S6:S17" si="10">SUM(M6:R6)</f>
        <v>#REF!</v>
      </c>
      <c r="T6" s="17" t="e">
        <f>#REF!+#REF!+S6-#REF!</f>
        <v>#REF!</v>
      </c>
      <c r="U6" s="18" t="e">
        <f>#REF!+#REF!+S6</f>
        <v>#REF!</v>
      </c>
    </row>
    <row r="7" spans="1:21" ht="30" customHeight="1" x14ac:dyDescent="0.3">
      <c r="A7" s="13">
        <v>2</v>
      </c>
      <c r="B7" s="19" t="s">
        <v>134</v>
      </c>
      <c r="C7" s="19" t="s">
        <v>230</v>
      </c>
      <c r="D7" s="14">
        <v>11</v>
      </c>
      <c r="E7" s="15">
        <v>2968200</v>
      </c>
      <c r="F7" s="15">
        <f t="shared" si="1"/>
        <v>35618400</v>
      </c>
      <c r="G7" s="15">
        <f t="shared" si="2"/>
        <v>3561840</v>
      </c>
      <c r="H7" s="15">
        <v>8</v>
      </c>
      <c r="I7" s="15">
        <f t="shared" ref="I7:I17" si="11">ROUNDDOWN(F7*1/209*1.5*H7,-1)</f>
        <v>2045070</v>
      </c>
      <c r="J7" s="15">
        <f>120000*12</f>
        <v>1440000</v>
      </c>
      <c r="K7" s="74">
        <f t="shared" si="3"/>
        <v>42665310</v>
      </c>
      <c r="L7" s="74" t="e">
        <f>#REF!+120000</f>
        <v>#REF!</v>
      </c>
      <c r="M7" s="16" t="e">
        <f t="shared" si="4"/>
        <v>#REF!</v>
      </c>
      <c r="N7" s="16" t="e">
        <f t="shared" si="5"/>
        <v>#REF!</v>
      </c>
      <c r="O7" s="16" t="e">
        <f t="shared" si="6"/>
        <v>#REF!</v>
      </c>
      <c r="P7" s="16" t="e">
        <f t="shared" si="7"/>
        <v>#REF!</v>
      </c>
      <c r="Q7" s="16" t="e">
        <f t="shared" si="8"/>
        <v>#REF!</v>
      </c>
      <c r="R7" s="16">
        <f t="shared" si="9"/>
        <v>3555440</v>
      </c>
      <c r="S7" s="16" t="e">
        <f t="shared" si="10"/>
        <v>#REF!</v>
      </c>
      <c r="T7" s="17" t="e">
        <f>#REF!+#REF!+S7-#REF!</f>
        <v>#REF!</v>
      </c>
      <c r="U7" s="18" t="e">
        <f>#REF!+#REF!+S7</f>
        <v>#REF!</v>
      </c>
    </row>
    <row r="8" spans="1:21" ht="30" customHeight="1" x14ac:dyDescent="0.3">
      <c r="A8" s="13">
        <v>3</v>
      </c>
      <c r="B8" s="19" t="s">
        <v>229</v>
      </c>
      <c r="C8" s="19" t="s">
        <v>231</v>
      </c>
      <c r="D8" s="14">
        <v>18</v>
      </c>
      <c r="E8" s="15">
        <v>2905600</v>
      </c>
      <c r="F8" s="15">
        <f t="shared" si="1"/>
        <v>34867200</v>
      </c>
      <c r="G8" s="15">
        <f t="shared" si="2"/>
        <v>3486720</v>
      </c>
      <c r="H8" s="15">
        <v>8</v>
      </c>
      <c r="I8" s="15">
        <f t="shared" si="11"/>
        <v>2001940</v>
      </c>
      <c r="J8" s="15">
        <f>40000*12</f>
        <v>480000</v>
      </c>
      <c r="K8" s="74">
        <f t="shared" si="3"/>
        <v>40835860</v>
      </c>
      <c r="L8" s="74"/>
      <c r="M8" s="16"/>
      <c r="N8" s="16"/>
      <c r="O8" s="16"/>
      <c r="P8" s="16"/>
      <c r="Q8" s="16"/>
      <c r="R8" s="16"/>
      <c r="S8" s="16"/>
      <c r="T8" s="17"/>
      <c r="U8" s="18"/>
    </row>
    <row r="9" spans="1:21" ht="30" customHeight="1" x14ac:dyDescent="0.3">
      <c r="A9" s="13">
        <v>4</v>
      </c>
      <c r="B9" s="13" t="s">
        <v>232</v>
      </c>
      <c r="C9" s="13" t="s">
        <v>58</v>
      </c>
      <c r="D9" s="14">
        <v>20</v>
      </c>
      <c r="E9" s="15">
        <v>3607000</v>
      </c>
      <c r="F9" s="15">
        <f t="shared" si="1"/>
        <v>43284000</v>
      </c>
      <c r="G9" s="15">
        <f t="shared" si="2"/>
        <v>4328400</v>
      </c>
      <c r="H9" s="15">
        <v>30</v>
      </c>
      <c r="I9" s="15">
        <f t="shared" si="11"/>
        <v>9319520</v>
      </c>
      <c r="J9" s="15"/>
      <c r="K9" s="74">
        <f t="shared" si="3"/>
        <v>56931920</v>
      </c>
      <c r="L9" s="74" t="e">
        <f>#REF!+120000</f>
        <v>#REF!</v>
      </c>
      <c r="M9" s="16" t="e">
        <f t="shared" si="4"/>
        <v>#REF!</v>
      </c>
      <c r="N9" s="16" t="e">
        <f t="shared" si="5"/>
        <v>#REF!</v>
      </c>
      <c r="O9" s="16" t="e">
        <f t="shared" si="6"/>
        <v>#REF!</v>
      </c>
      <c r="P9" s="16" t="e">
        <f t="shared" si="7"/>
        <v>#REF!</v>
      </c>
      <c r="Q9" s="16" t="e">
        <f t="shared" si="8"/>
        <v>#REF!</v>
      </c>
      <c r="R9" s="16">
        <f t="shared" si="9"/>
        <v>4744320</v>
      </c>
      <c r="S9" s="16" t="e">
        <f t="shared" si="10"/>
        <v>#REF!</v>
      </c>
      <c r="T9" s="17" t="e">
        <f>#REF!+#REF!+S9-#REF!</f>
        <v>#REF!</v>
      </c>
      <c r="U9" s="18" t="e">
        <f>#REF!+#REF!+S9</f>
        <v>#REF!</v>
      </c>
    </row>
    <row r="10" spans="1:21" ht="30" customHeight="1" x14ac:dyDescent="0.3">
      <c r="A10" s="13">
        <v>5</v>
      </c>
      <c r="B10" s="13" t="s">
        <v>232</v>
      </c>
      <c r="C10" s="19" t="s">
        <v>85</v>
      </c>
      <c r="D10" s="14">
        <v>17</v>
      </c>
      <c r="E10" s="15">
        <v>3010200</v>
      </c>
      <c r="F10" s="15">
        <f t="shared" si="1"/>
        <v>36122400</v>
      </c>
      <c r="G10" s="15">
        <f t="shared" si="2"/>
        <v>3612240</v>
      </c>
      <c r="H10" s="15">
        <v>30</v>
      </c>
      <c r="I10" s="15">
        <f t="shared" si="11"/>
        <v>7777550</v>
      </c>
      <c r="J10" s="15">
        <f>80000*12</f>
        <v>960000</v>
      </c>
      <c r="K10" s="74">
        <f t="shared" si="3"/>
        <v>48472190</v>
      </c>
      <c r="L10" s="74" t="e">
        <f>#REF!+120000</f>
        <v>#REF!</v>
      </c>
      <c r="M10" s="16" t="e">
        <f t="shared" si="4"/>
        <v>#REF!</v>
      </c>
      <c r="N10" s="16" t="e">
        <f t="shared" si="5"/>
        <v>#REF!</v>
      </c>
      <c r="O10" s="16" t="e">
        <f t="shared" si="6"/>
        <v>#REF!</v>
      </c>
      <c r="P10" s="16" t="e">
        <f t="shared" si="7"/>
        <v>#REF!</v>
      </c>
      <c r="Q10" s="16" t="e">
        <f t="shared" si="8"/>
        <v>#REF!</v>
      </c>
      <c r="R10" s="16">
        <f t="shared" si="9"/>
        <v>4039340</v>
      </c>
      <c r="S10" s="16" t="e">
        <f t="shared" si="10"/>
        <v>#REF!</v>
      </c>
      <c r="T10" s="17" t="e">
        <f>#REF!+#REF!+S10-#REF!</f>
        <v>#REF!</v>
      </c>
      <c r="U10" s="18" t="e">
        <f>#REF!+#REF!+S10</f>
        <v>#REF!</v>
      </c>
    </row>
    <row r="11" spans="1:21" ht="30" customHeight="1" x14ac:dyDescent="0.3">
      <c r="A11" s="13">
        <v>6</v>
      </c>
      <c r="B11" s="13" t="s">
        <v>232</v>
      </c>
      <c r="C11" s="19" t="s">
        <v>82</v>
      </c>
      <c r="D11" s="14">
        <v>10</v>
      </c>
      <c r="E11" s="15">
        <v>2400800</v>
      </c>
      <c r="F11" s="15">
        <f t="shared" si="1"/>
        <v>28809600</v>
      </c>
      <c r="G11" s="15">
        <f t="shared" si="2"/>
        <v>2880960</v>
      </c>
      <c r="H11" s="15">
        <v>30</v>
      </c>
      <c r="I11" s="15">
        <f t="shared" si="11"/>
        <v>6203020</v>
      </c>
      <c r="J11" s="15">
        <v>480000</v>
      </c>
      <c r="K11" s="74">
        <f t="shared" si="3"/>
        <v>38373580</v>
      </c>
      <c r="L11" s="74" t="e">
        <f>#REF!+120000</f>
        <v>#REF!</v>
      </c>
      <c r="M11" s="16" t="e">
        <f t="shared" si="4"/>
        <v>#REF!</v>
      </c>
      <c r="N11" s="16" t="e">
        <f t="shared" si="5"/>
        <v>#REF!</v>
      </c>
      <c r="O11" s="16" t="e">
        <f t="shared" si="6"/>
        <v>#REF!</v>
      </c>
      <c r="P11" s="16" t="e">
        <f t="shared" si="7"/>
        <v>#REF!</v>
      </c>
      <c r="Q11" s="16" t="e">
        <f t="shared" si="8"/>
        <v>#REF!</v>
      </c>
      <c r="R11" s="16">
        <f t="shared" si="9"/>
        <v>3197790</v>
      </c>
      <c r="S11" s="16" t="e">
        <f t="shared" si="10"/>
        <v>#REF!</v>
      </c>
      <c r="T11" s="17" t="e">
        <f>#REF!+#REF!+S11-#REF!</f>
        <v>#REF!</v>
      </c>
      <c r="U11" s="18" t="e">
        <f>#REF!+#REF!+S11</f>
        <v>#REF!</v>
      </c>
    </row>
    <row r="12" spans="1:21" ht="30" customHeight="1" x14ac:dyDescent="0.3">
      <c r="A12" s="13">
        <v>7</v>
      </c>
      <c r="B12" s="13" t="s">
        <v>232</v>
      </c>
      <c r="C12" s="19" t="s">
        <v>192</v>
      </c>
      <c r="D12" s="14">
        <v>12</v>
      </c>
      <c r="E12" s="15">
        <v>2544400</v>
      </c>
      <c r="F12" s="15">
        <f t="shared" si="1"/>
        <v>30532800</v>
      </c>
      <c r="G12" s="15">
        <f t="shared" si="2"/>
        <v>3053280</v>
      </c>
      <c r="H12" s="15">
        <v>30</v>
      </c>
      <c r="I12" s="15">
        <f t="shared" si="11"/>
        <v>6574040</v>
      </c>
      <c r="J12" s="15"/>
      <c r="K12" s="74">
        <f t="shared" si="3"/>
        <v>40160120</v>
      </c>
      <c r="L12" s="74" t="e">
        <f>#REF!+120000</f>
        <v>#REF!</v>
      </c>
      <c r="M12" s="16" t="e">
        <f t="shared" si="4"/>
        <v>#REF!</v>
      </c>
      <c r="N12" s="16" t="e">
        <f t="shared" si="5"/>
        <v>#REF!</v>
      </c>
      <c r="O12" s="16" t="e">
        <f t="shared" si="6"/>
        <v>#REF!</v>
      </c>
      <c r="P12" s="16" t="e">
        <f t="shared" si="7"/>
        <v>#REF!</v>
      </c>
      <c r="Q12" s="16" t="e">
        <f t="shared" si="8"/>
        <v>#REF!</v>
      </c>
      <c r="R12" s="16">
        <f t="shared" si="9"/>
        <v>3346670</v>
      </c>
      <c r="S12" s="16" t="e">
        <f t="shared" si="10"/>
        <v>#REF!</v>
      </c>
      <c r="T12" s="17" t="e">
        <f>#REF!+#REF!+S12-#REF!</f>
        <v>#REF!</v>
      </c>
      <c r="U12" s="18" t="e">
        <f>#REF!+#REF!+S12</f>
        <v>#REF!</v>
      </c>
    </row>
    <row r="13" spans="1:21" ht="30" customHeight="1" x14ac:dyDescent="0.3">
      <c r="A13" s="13">
        <v>8</v>
      </c>
      <c r="B13" s="13" t="s">
        <v>232</v>
      </c>
      <c r="C13" s="19" t="s">
        <v>194</v>
      </c>
      <c r="D13" s="14">
        <v>9</v>
      </c>
      <c r="E13" s="15">
        <v>2225300</v>
      </c>
      <c r="F13" s="15">
        <f t="shared" si="1"/>
        <v>26703600</v>
      </c>
      <c r="G13" s="15">
        <f t="shared" si="2"/>
        <v>2670360</v>
      </c>
      <c r="H13" s="15">
        <v>30</v>
      </c>
      <c r="I13" s="15">
        <f t="shared" si="11"/>
        <v>5749570</v>
      </c>
      <c r="J13" s="15">
        <v>240000</v>
      </c>
      <c r="K13" s="74">
        <f t="shared" si="3"/>
        <v>35363530</v>
      </c>
      <c r="L13" s="74" t="e">
        <f>#REF!+120000</f>
        <v>#REF!</v>
      </c>
      <c r="M13" s="16" t="e">
        <f t="shared" si="4"/>
        <v>#REF!</v>
      </c>
      <c r="N13" s="16" t="e">
        <f t="shared" si="5"/>
        <v>#REF!</v>
      </c>
      <c r="O13" s="16" t="e">
        <f t="shared" si="6"/>
        <v>#REF!</v>
      </c>
      <c r="P13" s="16" t="e">
        <f t="shared" si="7"/>
        <v>#REF!</v>
      </c>
      <c r="Q13" s="16" t="e">
        <f t="shared" si="8"/>
        <v>#REF!</v>
      </c>
      <c r="R13" s="16">
        <f t="shared" si="9"/>
        <v>2946960</v>
      </c>
      <c r="S13" s="16" t="e">
        <f t="shared" si="10"/>
        <v>#REF!</v>
      </c>
      <c r="T13" s="17" t="e">
        <f>#REF!+#REF!+S13-#REF!</f>
        <v>#REF!</v>
      </c>
      <c r="U13" s="18" t="e">
        <f>#REF!+#REF!+S13</f>
        <v>#REF!</v>
      </c>
    </row>
    <row r="14" spans="1:21" ht="30" customHeight="1" x14ac:dyDescent="0.3">
      <c r="A14" s="13">
        <v>9</v>
      </c>
      <c r="B14" s="13" t="s">
        <v>232</v>
      </c>
      <c r="C14" s="19" t="s">
        <v>233</v>
      </c>
      <c r="D14" s="14">
        <v>7</v>
      </c>
      <c r="E14" s="15">
        <v>2135100</v>
      </c>
      <c r="F14" s="15">
        <f t="shared" si="1"/>
        <v>25621200</v>
      </c>
      <c r="G14" s="15">
        <f t="shared" si="2"/>
        <v>2562120</v>
      </c>
      <c r="H14" s="15">
        <v>30</v>
      </c>
      <c r="I14" s="15">
        <f t="shared" si="11"/>
        <v>5516520</v>
      </c>
      <c r="J14" s="15">
        <f>120000*12</f>
        <v>1440000</v>
      </c>
      <c r="K14" s="74">
        <f t="shared" si="3"/>
        <v>35139840</v>
      </c>
      <c r="L14" s="74" t="e">
        <f>#REF!+120000</f>
        <v>#REF!</v>
      </c>
      <c r="M14" s="16" t="e">
        <f t="shared" si="4"/>
        <v>#REF!</v>
      </c>
      <c r="N14" s="16" t="e">
        <f t="shared" si="5"/>
        <v>#REF!</v>
      </c>
      <c r="O14" s="16" t="e">
        <f t="shared" si="6"/>
        <v>#REF!</v>
      </c>
      <c r="P14" s="16" t="e">
        <f t="shared" si="7"/>
        <v>#REF!</v>
      </c>
      <c r="Q14" s="16" t="e">
        <f t="shared" si="8"/>
        <v>#REF!</v>
      </c>
      <c r="R14" s="16">
        <f t="shared" si="9"/>
        <v>2928320</v>
      </c>
      <c r="S14" s="16" t="e">
        <f t="shared" si="10"/>
        <v>#REF!</v>
      </c>
      <c r="T14" s="17" t="e">
        <f>#REF!+#REF!+S14-#REF!</f>
        <v>#REF!</v>
      </c>
      <c r="U14" s="18" t="e">
        <f>#REF!+#REF!+S14</f>
        <v>#REF!</v>
      </c>
    </row>
    <row r="15" spans="1:21" ht="30" customHeight="1" x14ac:dyDescent="0.3">
      <c r="A15" s="13">
        <v>10</v>
      </c>
      <c r="B15" s="13" t="s">
        <v>232</v>
      </c>
      <c r="C15" s="19" t="s">
        <v>234</v>
      </c>
      <c r="D15" s="14">
        <v>8</v>
      </c>
      <c r="E15" s="15">
        <v>2225300</v>
      </c>
      <c r="F15" s="15">
        <f t="shared" si="1"/>
        <v>26703600</v>
      </c>
      <c r="G15" s="15">
        <f t="shared" si="2"/>
        <v>2670360</v>
      </c>
      <c r="H15" s="15">
        <v>30</v>
      </c>
      <c r="I15" s="15">
        <f t="shared" si="11"/>
        <v>5749570</v>
      </c>
      <c r="J15" s="15">
        <v>720000</v>
      </c>
      <c r="K15" s="74">
        <f t="shared" si="3"/>
        <v>35843530</v>
      </c>
      <c r="L15" s="74" t="e">
        <f>#REF!+120000</f>
        <v>#REF!</v>
      </c>
      <c r="M15" s="16" t="e">
        <f t="shared" si="4"/>
        <v>#REF!</v>
      </c>
      <c r="N15" s="16" t="e">
        <f t="shared" si="5"/>
        <v>#REF!</v>
      </c>
      <c r="O15" s="16" t="e">
        <f t="shared" si="6"/>
        <v>#REF!</v>
      </c>
      <c r="P15" s="16" t="e">
        <f t="shared" si="7"/>
        <v>#REF!</v>
      </c>
      <c r="Q15" s="16" t="e">
        <f t="shared" si="8"/>
        <v>#REF!</v>
      </c>
      <c r="R15" s="16">
        <f t="shared" si="9"/>
        <v>2986960</v>
      </c>
      <c r="S15" s="16" t="e">
        <f t="shared" si="10"/>
        <v>#REF!</v>
      </c>
      <c r="T15" s="17" t="e">
        <f>#REF!+#REF!+S15-#REF!</f>
        <v>#REF!</v>
      </c>
      <c r="U15" s="18" t="e">
        <f>#REF!+#REF!+S15</f>
        <v>#REF!</v>
      </c>
    </row>
    <row r="16" spans="1:21" ht="30" customHeight="1" x14ac:dyDescent="0.3">
      <c r="A16" s="13">
        <v>11</v>
      </c>
      <c r="B16" s="13" t="s">
        <v>232</v>
      </c>
      <c r="C16" s="19" t="s">
        <v>237</v>
      </c>
      <c r="D16" s="14">
        <v>10</v>
      </c>
      <c r="E16" s="15">
        <v>2400800</v>
      </c>
      <c r="F16" s="15">
        <f t="shared" si="1"/>
        <v>28809600</v>
      </c>
      <c r="G16" s="15">
        <f t="shared" si="2"/>
        <v>2880960</v>
      </c>
      <c r="H16" s="15">
        <v>30</v>
      </c>
      <c r="I16" s="15">
        <f t="shared" si="11"/>
        <v>6203020</v>
      </c>
      <c r="J16" s="15">
        <f>120000*4</f>
        <v>480000</v>
      </c>
      <c r="K16" s="74">
        <f t="shared" si="3"/>
        <v>38373580</v>
      </c>
      <c r="L16" s="74" t="e">
        <f>#REF!+120000</f>
        <v>#REF!</v>
      </c>
      <c r="M16" s="16" t="e">
        <f t="shared" si="4"/>
        <v>#REF!</v>
      </c>
      <c r="N16" s="16" t="e">
        <f t="shared" si="5"/>
        <v>#REF!</v>
      </c>
      <c r="O16" s="16" t="e">
        <f t="shared" si="6"/>
        <v>#REF!</v>
      </c>
      <c r="P16" s="16" t="e">
        <f t="shared" si="7"/>
        <v>#REF!</v>
      </c>
      <c r="Q16" s="16" t="e">
        <f t="shared" si="8"/>
        <v>#REF!</v>
      </c>
      <c r="R16" s="16">
        <f t="shared" si="9"/>
        <v>3197790</v>
      </c>
      <c r="S16" s="16" t="e">
        <f t="shared" si="10"/>
        <v>#REF!</v>
      </c>
      <c r="T16" s="17" t="e">
        <f>#REF!+#REF!+S16-#REF!</f>
        <v>#REF!</v>
      </c>
      <c r="U16" s="18" t="e">
        <f>#REF!+#REF!+S16</f>
        <v>#REF!</v>
      </c>
    </row>
    <row r="17" spans="1:21" ht="30" customHeight="1" x14ac:dyDescent="0.3">
      <c r="A17" s="13">
        <v>12</v>
      </c>
      <c r="B17" s="13" t="s">
        <v>235</v>
      </c>
      <c r="C17" s="19" t="s">
        <v>236</v>
      </c>
      <c r="D17" s="14">
        <v>2</v>
      </c>
      <c r="E17" s="15">
        <v>1707000</v>
      </c>
      <c r="F17" s="15">
        <f t="shared" si="1"/>
        <v>20484000</v>
      </c>
      <c r="G17" s="15">
        <f t="shared" si="2"/>
        <v>2048400</v>
      </c>
      <c r="H17" s="15">
        <v>30</v>
      </c>
      <c r="I17" s="15">
        <f t="shared" si="11"/>
        <v>4410430</v>
      </c>
      <c r="J17" s="15">
        <f>40000*12</f>
        <v>480000</v>
      </c>
      <c r="K17" s="74">
        <f t="shared" si="3"/>
        <v>27422830</v>
      </c>
      <c r="L17" s="74" t="e">
        <f>#REF!+120000</f>
        <v>#REF!</v>
      </c>
      <c r="M17" s="16" t="e">
        <f t="shared" si="4"/>
        <v>#REF!</v>
      </c>
      <c r="N17" s="16" t="e">
        <f t="shared" si="5"/>
        <v>#REF!</v>
      </c>
      <c r="O17" s="16" t="e">
        <f t="shared" si="6"/>
        <v>#REF!</v>
      </c>
      <c r="P17" s="16" t="e">
        <f t="shared" si="7"/>
        <v>#REF!</v>
      </c>
      <c r="Q17" s="16" t="e">
        <f t="shared" si="8"/>
        <v>#REF!</v>
      </c>
      <c r="R17" s="16">
        <f t="shared" si="9"/>
        <v>2285230</v>
      </c>
      <c r="S17" s="16" t="e">
        <f t="shared" si="10"/>
        <v>#REF!</v>
      </c>
      <c r="T17" s="17" t="e">
        <f>#REF!+#REF!+S17-#REF!</f>
        <v>#REF!</v>
      </c>
      <c r="U17" s="18" t="e">
        <f>#REF!+#REF!+S17</f>
        <v>#REF!</v>
      </c>
    </row>
    <row r="18" spans="1:21" x14ac:dyDescent="0.3">
      <c r="E18" s="21"/>
      <c r="F18" s="21"/>
      <c r="G18" s="21"/>
      <c r="H18" s="22"/>
      <c r="I18" s="21"/>
      <c r="J18" s="21"/>
      <c r="K18" s="21"/>
      <c r="L18" s="21"/>
    </row>
    <row r="19" spans="1:21" x14ac:dyDescent="0.3">
      <c r="E19" s="5"/>
      <c r="F19" s="5"/>
      <c r="G19" s="5"/>
      <c r="H19" s="23"/>
      <c r="I19" s="5"/>
      <c r="J19" s="5"/>
      <c r="K19" s="5"/>
      <c r="L19" s="5"/>
    </row>
    <row r="20" spans="1:21" x14ac:dyDescent="0.3">
      <c r="G20" s="112">
        <f>G5+I5+J5</f>
        <v>108325530</v>
      </c>
    </row>
  </sheetData>
  <mergeCells count="15">
    <mergeCell ref="U3:U4"/>
    <mergeCell ref="G3:G4"/>
    <mergeCell ref="K3:K4"/>
    <mergeCell ref="M3:S3"/>
    <mergeCell ref="T3:T4"/>
    <mergeCell ref="H3:I3"/>
    <mergeCell ref="J3:J4"/>
    <mergeCell ref="B3:B5"/>
    <mergeCell ref="E3:F4"/>
    <mergeCell ref="D3:D5"/>
    <mergeCell ref="L3:L4"/>
    <mergeCell ref="A1:T1"/>
    <mergeCell ref="A2:B2"/>
    <mergeCell ref="A3:A5"/>
    <mergeCell ref="C3:C5"/>
  </mergeCells>
  <phoneticPr fontId="19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20"/>
  <sheetViews>
    <sheetView topLeftCell="G1" zoomScaleNormal="100" workbookViewId="0">
      <selection activeCell="N21" sqref="N21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7.75" style="3" customWidth="1"/>
    <col min="5" max="5" width="14.5" customWidth="1"/>
    <col min="6" max="6" width="15.75" customWidth="1"/>
    <col min="7" max="7" width="15.125" customWidth="1"/>
    <col min="8" max="8" width="7.75" style="6" customWidth="1"/>
    <col min="9" max="9" width="16.125" customWidth="1"/>
    <col min="10" max="10" width="13.25" customWidth="1"/>
    <col min="11" max="11" width="15.75" customWidth="1"/>
    <col min="12" max="12" width="15.75" bestFit="1" customWidth="1"/>
    <col min="13" max="18" width="15.625" customWidth="1"/>
    <col min="19" max="19" width="15.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19" ht="35.1" customHeight="1" x14ac:dyDescent="0.3">
      <c r="A1" s="260" t="s">
        <v>182</v>
      </c>
      <c r="B1" s="260"/>
      <c r="C1" s="260"/>
      <c r="D1" s="260"/>
      <c r="E1" s="261"/>
      <c r="F1" s="261"/>
      <c r="G1" s="260"/>
      <c r="H1" s="260"/>
      <c r="I1" s="261"/>
      <c r="J1" s="260"/>
      <c r="K1" s="260"/>
      <c r="L1" s="260"/>
      <c r="M1" s="260"/>
      <c r="N1" s="260"/>
      <c r="O1" s="260"/>
      <c r="P1" s="260"/>
      <c r="Q1" s="260"/>
      <c r="R1" s="260"/>
      <c r="S1" s="260"/>
    </row>
    <row r="2" spans="1:19" ht="26.25" customHeight="1" x14ac:dyDescent="0.3">
      <c r="A2" s="89" t="s">
        <v>84</v>
      </c>
      <c r="B2" s="2"/>
      <c r="C2" s="2"/>
      <c r="E2" s="4"/>
      <c r="F2" s="4"/>
      <c r="G2" s="5"/>
      <c r="I2" s="5"/>
      <c r="J2" s="5"/>
      <c r="K2" s="7"/>
      <c r="L2" s="5"/>
      <c r="M2" s="5"/>
      <c r="N2" s="5"/>
      <c r="O2" s="5"/>
      <c r="P2" s="5"/>
      <c r="Q2" s="5"/>
      <c r="R2" s="5"/>
      <c r="S2" s="7" t="s">
        <v>123</v>
      </c>
    </row>
    <row r="3" spans="1:19" ht="19.5" customHeight="1" x14ac:dyDescent="0.3">
      <c r="A3" s="251" t="s">
        <v>78</v>
      </c>
      <c r="B3" s="251" t="s">
        <v>74</v>
      </c>
      <c r="C3" s="251" t="s">
        <v>73</v>
      </c>
      <c r="D3" s="251" t="s">
        <v>72</v>
      </c>
      <c r="E3" s="254" t="s">
        <v>64</v>
      </c>
      <c r="F3" s="255"/>
      <c r="G3" s="265" t="s">
        <v>149</v>
      </c>
      <c r="H3" s="272" t="s">
        <v>144</v>
      </c>
      <c r="I3" s="273"/>
      <c r="J3" s="265" t="s">
        <v>159</v>
      </c>
      <c r="K3" s="258" t="s">
        <v>59</v>
      </c>
      <c r="L3" s="258" t="s">
        <v>171</v>
      </c>
      <c r="M3" s="275" t="s">
        <v>13</v>
      </c>
      <c r="N3" s="275"/>
      <c r="O3" s="275"/>
      <c r="P3" s="275"/>
      <c r="Q3" s="275"/>
      <c r="R3" s="275"/>
      <c r="S3" s="275"/>
    </row>
    <row r="4" spans="1:19" ht="14.25" customHeight="1" x14ac:dyDescent="0.3">
      <c r="A4" s="252"/>
      <c r="B4" s="252"/>
      <c r="C4" s="252"/>
      <c r="D4" s="252"/>
      <c r="E4" s="256"/>
      <c r="F4" s="257"/>
      <c r="G4" s="266"/>
      <c r="H4" s="8" t="s">
        <v>63</v>
      </c>
      <c r="I4" s="9" t="s">
        <v>49</v>
      </c>
      <c r="J4" s="266"/>
      <c r="K4" s="274"/>
      <c r="L4" s="274"/>
      <c r="M4" s="275"/>
      <c r="N4" s="275"/>
      <c r="O4" s="275"/>
      <c r="P4" s="275"/>
      <c r="Q4" s="275"/>
      <c r="R4" s="275"/>
      <c r="S4" s="275"/>
    </row>
    <row r="5" spans="1:19" ht="46.5" customHeight="1" x14ac:dyDescent="0.3">
      <c r="A5" s="253"/>
      <c r="B5" s="253"/>
      <c r="C5" s="253"/>
      <c r="D5" s="253"/>
      <c r="E5" s="11"/>
      <c r="F5" s="11"/>
      <c r="G5" s="11"/>
      <c r="H5" s="11"/>
      <c r="I5" s="11"/>
      <c r="J5" s="11"/>
      <c r="K5" s="259"/>
      <c r="L5" s="259"/>
      <c r="M5" s="10" t="s">
        <v>179</v>
      </c>
      <c r="N5" s="10" t="s">
        <v>180</v>
      </c>
      <c r="O5" s="10" t="s">
        <v>31</v>
      </c>
      <c r="P5" s="10" t="s">
        <v>34</v>
      </c>
      <c r="Q5" s="10" t="s">
        <v>35</v>
      </c>
      <c r="R5" s="10" t="s">
        <v>176</v>
      </c>
      <c r="S5" s="90" t="s">
        <v>69</v>
      </c>
    </row>
    <row r="6" spans="1:19" ht="30" customHeight="1" x14ac:dyDescent="0.3">
      <c r="A6" s="276" t="s">
        <v>67</v>
      </c>
      <c r="B6" s="277"/>
      <c r="C6" s="276"/>
      <c r="D6" s="278"/>
      <c r="E6" s="11">
        <f>SUM(E7:E18)</f>
        <v>32579400</v>
      </c>
      <c r="F6" s="11">
        <f>SUM(F7:F18)</f>
        <v>390952800</v>
      </c>
      <c r="G6" s="11">
        <f>SUM(G7:G18)</f>
        <v>39095280</v>
      </c>
      <c r="H6" s="11">
        <f>SUM(H8:H18)</f>
        <v>286</v>
      </c>
      <c r="I6" s="11">
        <f>SUM(I8:I18)</f>
        <v>61550250</v>
      </c>
      <c r="J6" s="11">
        <f t="shared" ref="J6:S6" si="0">SUM(J7:J18)</f>
        <v>7680000</v>
      </c>
      <c r="K6" s="11">
        <f t="shared" si="0"/>
        <v>499278330</v>
      </c>
      <c r="L6" s="73">
        <f t="shared" si="0"/>
        <v>499278330</v>
      </c>
      <c r="M6" s="11">
        <f t="shared" si="0"/>
        <v>15277840</v>
      </c>
      <c r="N6" s="11">
        <f t="shared" si="0"/>
        <v>1000650</v>
      </c>
      <c r="O6" s="11">
        <f t="shared" si="0"/>
        <v>22467460</v>
      </c>
      <c r="P6" s="11">
        <f t="shared" si="0"/>
        <v>3494890</v>
      </c>
      <c r="Q6" s="11">
        <f t="shared" si="0"/>
        <v>4493450</v>
      </c>
      <c r="R6" s="11">
        <f t="shared" si="0"/>
        <v>41606470</v>
      </c>
      <c r="S6" s="73">
        <f t="shared" si="0"/>
        <v>88340760</v>
      </c>
    </row>
    <row r="7" spans="1:19" ht="30" customHeight="1" x14ac:dyDescent="0.3">
      <c r="A7" s="13">
        <v>1</v>
      </c>
      <c r="B7" s="13" t="s">
        <v>167</v>
      </c>
      <c r="C7" s="13" t="s">
        <v>81</v>
      </c>
      <c r="D7" s="14">
        <v>22</v>
      </c>
      <c r="E7" s="15">
        <v>4449700</v>
      </c>
      <c r="F7" s="15">
        <f t="shared" ref="F7:F18" si="1">E7*12</f>
        <v>53396400</v>
      </c>
      <c r="G7" s="15">
        <f t="shared" ref="G7:G18" si="2">E7*120%</f>
        <v>5339640</v>
      </c>
      <c r="H7" s="20"/>
      <c r="I7" s="15"/>
      <c r="J7" s="15">
        <f>80000*12</f>
        <v>960000</v>
      </c>
      <c r="K7" s="74">
        <f t="shared" ref="K7:K18" si="3">F7+G7+I7+J7</f>
        <v>59696040</v>
      </c>
      <c r="L7" s="74">
        <f t="shared" ref="L7:L18" si="4">K7</f>
        <v>59696040</v>
      </c>
      <c r="M7" s="16">
        <f t="shared" ref="M7:M18" si="5">ROUNDDOWN(L7*3.06%,-1)</f>
        <v>1826690</v>
      </c>
      <c r="N7" s="16">
        <f t="shared" ref="N7:N18" si="6">ROUNDDOWN(M7*6.55%,-1)</f>
        <v>119640</v>
      </c>
      <c r="O7" s="16">
        <f t="shared" ref="O7:O18" si="7">ROUNDDOWN(L7*0.045,-1)</f>
        <v>2686320</v>
      </c>
      <c r="P7" s="16">
        <f t="shared" ref="P7:P18" si="8">ROUNDDOWN(L7*0.007,-1)</f>
        <v>417870</v>
      </c>
      <c r="Q7" s="16">
        <f t="shared" ref="Q7:Q18" si="9">ROUNDDOWN(L7*0.009,-1)</f>
        <v>537260</v>
      </c>
      <c r="R7" s="16">
        <f t="shared" ref="R7:R18" si="10">ROUNDDOWN(K7/12,-1)</f>
        <v>4974670</v>
      </c>
      <c r="S7" s="74">
        <f t="shared" ref="S7:S18" si="11">SUM(M7:R7)</f>
        <v>10562450</v>
      </c>
    </row>
    <row r="8" spans="1:19" ht="30" customHeight="1" x14ac:dyDescent="0.3">
      <c r="A8" s="13">
        <v>2</v>
      </c>
      <c r="B8" s="19" t="s">
        <v>134</v>
      </c>
      <c r="C8" s="19" t="s">
        <v>70</v>
      </c>
      <c r="D8" s="14">
        <v>11</v>
      </c>
      <c r="E8" s="15">
        <v>2968200</v>
      </c>
      <c r="F8" s="15">
        <f t="shared" si="1"/>
        <v>35618400</v>
      </c>
      <c r="G8" s="15">
        <f t="shared" si="2"/>
        <v>3561840</v>
      </c>
      <c r="H8" s="20">
        <v>8</v>
      </c>
      <c r="I8" s="15">
        <f t="shared" ref="I8:I18" si="12">ROUNDDOWN(F8*1/209*1.5*H8,-1)</f>
        <v>2045070</v>
      </c>
      <c r="J8" s="15">
        <f>120000*12</f>
        <v>1440000</v>
      </c>
      <c r="K8" s="74">
        <f t="shared" si="3"/>
        <v>42665310</v>
      </c>
      <c r="L8" s="74">
        <f t="shared" si="4"/>
        <v>42665310</v>
      </c>
      <c r="M8" s="16">
        <f t="shared" si="5"/>
        <v>1305550</v>
      </c>
      <c r="N8" s="16">
        <f t="shared" si="6"/>
        <v>85510</v>
      </c>
      <c r="O8" s="16">
        <f t="shared" si="7"/>
        <v>1919930</v>
      </c>
      <c r="P8" s="16">
        <f t="shared" si="8"/>
        <v>298650</v>
      </c>
      <c r="Q8" s="16">
        <f t="shared" si="9"/>
        <v>383980</v>
      </c>
      <c r="R8" s="16">
        <f t="shared" si="10"/>
        <v>3555440</v>
      </c>
      <c r="S8" s="74">
        <f t="shared" si="11"/>
        <v>7549060</v>
      </c>
    </row>
    <row r="9" spans="1:19" ht="30" customHeight="1" x14ac:dyDescent="0.3">
      <c r="A9" s="13">
        <v>3</v>
      </c>
      <c r="B9" s="19" t="s">
        <v>61</v>
      </c>
      <c r="C9" s="19" t="s">
        <v>85</v>
      </c>
      <c r="D9" s="14">
        <v>18</v>
      </c>
      <c r="E9" s="15">
        <v>2905600</v>
      </c>
      <c r="F9" s="15">
        <f t="shared" si="1"/>
        <v>34867200</v>
      </c>
      <c r="G9" s="15">
        <f t="shared" si="2"/>
        <v>3486720</v>
      </c>
      <c r="H9" s="20">
        <v>8</v>
      </c>
      <c r="I9" s="15">
        <f t="shared" si="12"/>
        <v>2001940</v>
      </c>
      <c r="J9" s="15">
        <f>40000*12</f>
        <v>480000</v>
      </c>
      <c r="K9" s="74">
        <f t="shared" si="3"/>
        <v>40835860</v>
      </c>
      <c r="L9" s="74">
        <f t="shared" si="4"/>
        <v>40835860</v>
      </c>
      <c r="M9" s="16">
        <f t="shared" si="5"/>
        <v>1249570</v>
      </c>
      <c r="N9" s="16">
        <f t="shared" si="6"/>
        <v>81840</v>
      </c>
      <c r="O9" s="16">
        <f t="shared" si="7"/>
        <v>1837610</v>
      </c>
      <c r="P9" s="16">
        <f t="shared" si="8"/>
        <v>285850</v>
      </c>
      <c r="Q9" s="16">
        <f t="shared" si="9"/>
        <v>367520</v>
      </c>
      <c r="R9" s="16">
        <f t="shared" si="10"/>
        <v>3402980</v>
      </c>
      <c r="S9" s="74">
        <f t="shared" si="11"/>
        <v>7225370</v>
      </c>
    </row>
    <row r="10" spans="1:19" ht="30" customHeight="1" x14ac:dyDescent="0.3">
      <c r="A10" s="13">
        <v>4</v>
      </c>
      <c r="B10" s="19" t="s">
        <v>135</v>
      </c>
      <c r="C10" s="19" t="s">
        <v>187</v>
      </c>
      <c r="D10" s="14">
        <v>20</v>
      </c>
      <c r="E10" s="15">
        <v>3607000</v>
      </c>
      <c r="F10" s="15">
        <f t="shared" si="1"/>
        <v>43284000</v>
      </c>
      <c r="G10" s="15">
        <f t="shared" si="2"/>
        <v>4328400</v>
      </c>
      <c r="H10" s="20">
        <v>30</v>
      </c>
      <c r="I10" s="15">
        <f t="shared" si="12"/>
        <v>9319520</v>
      </c>
      <c r="J10" s="15"/>
      <c r="K10" s="74">
        <f t="shared" si="3"/>
        <v>56931920</v>
      </c>
      <c r="L10" s="74">
        <f t="shared" si="4"/>
        <v>56931920</v>
      </c>
      <c r="M10" s="16">
        <f t="shared" si="5"/>
        <v>1742110</v>
      </c>
      <c r="N10" s="16">
        <f t="shared" si="6"/>
        <v>114100</v>
      </c>
      <c r="O10" s="16">
        <f t="shared" si="7"/>
        <v>2561930</v>
      </c>
      <c r="P10" s="16">
        <f t="shared" si="8"/>
        <v>398520</v>
      </c>
      <c r="Q10" s="16">
        <f t="shared" si="9"/>
        <v>512380</v>
      </c>
      <c r="R10" s="16">
        <f t="shared" si="10"/>
        <v>4744320</v>
      </c>
      <c r="S10" s="74">
        <f t="shared" si="11"/>
        <v>10073360</v>
      </c>
    </row>
    <row r="11" spans="1:19" ht="30" customHeight="1" x14ac:dyDescent="0.3">
      <c r="A11" s="13">
        <v>5</v>
      </c>
      <c r="B11" s="19" t="s">
        <v>136</v>
      </c>
      <c r="C11" s="19" t="s">
        <v>65</v>
      </c>
      <c r="D11" s="14">
        <v>17</v>
      </c>
      <c r="E11" s="15">
        <v>3010200</v>
      </c>
      <c r="F11" s="15">
        <f t="shared" si="1"/>
        <v>36122400</v>
      </c>
      <c r="G11" s="15">
        <f t="shared" si="2"/>
        <v>3612240</v>
      </c>
      <c r="H11" s="20">
        <v>30</v>
      </c>
      <c r="I11" s="15">
        <f t="shared" si="12"/>
        <v>7777550</v>
      </c>
      <c r="J11" s="15">
        <f>80000*12</f>
        <v>960000</v>
      </c>
      <c r="K11" s="74">
        <f t="shared" si="3"/>
        <v>48472190</v>
      </c>
      <c r="L11" s="74">
        <f t="shared" si="4"/>
        <v>48472190</v>
      </c>
      <c r="M11" s="16">
        <f t="shared" si="5"/>
        <v>1483240</v>
      </c>
      <c r="N11" s="16">
        <f t="shared" si="6"/>
        <v>97150</v>
      </c>
      <c r="O11" s="16">
        <f t="shared" si="7"/>
        <v>2181240</v>
      </c>
      <c r="P11" s="16">
        <f t="shared" si="8"/>
        <v>339300</v>
      </c>
      <c r="Q11" s="16">
        <f t="shared" si="9"/>
        <v>436240</v>
      </c>
      <c r="R11" s="16">
        <f t="shared" si="10"/>
        <v>4039340</v>
      </c>
      <c r="S11" s="74">
        <f t="shared" si="11"/>
        <v>8576510</v>
      </c>
    </row>
    <row r="12" spans="1:19" ht="30" customHeight="1" x14ac:dyDescent="0.3">
      <c r="A12" s="13">
        <v>6</v>
      </c>
      <c r="B12" s="19" t="s">
        <v>239</v>
      </c>
      <c r="C12" s="19" t="s">
        <v>82</v>
      </c>
      <c r="D12" s="14">
        <v>10</v>
      </c>
      <c r="E12" s="15">
        <v>2400800</v>
      </c>
      <c r="F12" s="15">
        <f t="shared" si="1"/>
        <v>28809600</v>
      </c>
      <c r="G12" s="15">
        <f t="shared" si="2"/>
        <v>2880960</v>
      </c>
      <c r="H12" s="20">
        <v>30</v>
      </c>
      <c r="I12" s="15">
        <f t="shared" si="12"/>
        <v>6203020</v>
      </c>
      <c r="J12" s="15">
        <v>480000</v>
      </c>
      <c r="K12" s="74">
        <f t="shared" si="3"/>
        <v>38373580</v>
      </c>
      <c r="L12" s="74">
        <f t="shared" si="4"/>
        <v>38373580</v>
      </c>
      <c r="M12" s="16">
        <f t="shared" si="5"/>
        <v>1174230</v>
      </c>
      <c r="N12" s="16">
        <f t="shared" si="6"/>
        <v>76910</v>
      </c>
      <c r="O12" s="16">
        <f t="shared" si="7"/>
        <v>1726810</v>
      </c>
      <c r="P12" s="16">
        <f t="shared" si="8"/>
        <v>268610</v>
      </c>
      <c r="Q12" s="16">
        <f t="shared" si="9"/>
        <v>345360</v>
      </c>
      <c r="R12" s="16">
        <f t="shared" si="10"/>
        <v>3197790</v>
      </c>
      <c r="S12" s="74">
        <f t="shared" si="11"/>
        <v>6789710</v>
      </c>
    </row>
    <row r="13" spans="1:19" ht="30" customHeight="1" x14ac:dyDescent="0.3">
      <c r="A13" s="13">
        <v>7</v>
      </c>
      <c r="B13" s="19" t="s">
        <v>138</v>
      </c>
      <c r="C13" s="19" t="s">
        <v>188</v>
      </c>
      <c r="D13" s="14">
        <v>12</v>
      </c>
      <c r="E13" s="15">
        <v>2544400</v>
      </c>
      <c r="F13" s="15">
        <f t="shared" si="1"/>
        <v>30532800</v>
      </c>
      <c r="G13" s="15">
        <f t="shared" si="2"/>
        <v>3053280</v>
      </c>
      <c r="H13" s="20">
        <v>30</v>
      </c>
      <c r="I13" s="15">
        <f t="shared" si="12"/>
        <v>6574040</v>
      </c>
      <c r="J13" s="15"/>
      <c r="K13" s="74">
        <f t="shared" si="3"/>
        <v>40160120</v>
      </c>
      <c r="L13" s="74">
        <f t="shared" si="4"/>
        <v>40160120</v>
      </c>
      <c r="M13" s="16">
        <f t="shared" si="5"/>
        <v>1228890</v>
      </c>
      <c r="N13" s="16">
        <f t="shared" si="6"/>
        <v>80490</v>
      </c>
      <c r="O13" s="16">
        <f t="shared" si="7"/>
        <v>1807200</v>
      </c>
      <c r="P13" s="16">
        <f t="shared" si="8"/>
        <v>281120</v>
      </c>
      <c r="Q13" s="16">
        <f t="shared" si="9"/>
        <v>361440</v>
      </c>
      <c r="R13" s="16">
        <f t="shared" si="10"/>
        <v>3346670</v>
      </c>
      <c r="S13" s="74">
        <f t="shared" si="11"/>
        <v>7105810</v>
      </c>
    </row>
    <row r="14" spans="1:19" ht="30" customHeight="1" x14ac:dyDescent="0.3">
      <c r="A14" s="13">
        <v>8</v>
      </c>
      <c r="B14" s="19" t="s">
        <v>240</v>
      </c>
      <c r="C14" s="19" t="s">
        <v>189</v>
      </c>
      <c r="D14" s="14">
        <v>9</v>
      </c>
      <c r="E14" s="15">
        <v>2225300</v>
      </c>
      <c r="F14" s="15">
        <f t="shared" si="1"/>
        <v>26703600</v>
      </c>
      <c r="G14" s="15">
        <f t="shared" si="2"/>
        <v>2670360</v>
      </c>
      <c r="H14" s="20">
        <v>30</v>
      </c>
      <c r="I14" s="15">
        <f t="shared" si="12"/>
        <v>5749570</v>
      </c>
      <c r="J14" s="15">
        <v>240000</v>
      </c>
      <c r="K14" s="74">
        <f t="shared" si="3"/>
        <v>35363530</v>
      </c>
      <c r="L14" s="74">
        <f t="shared" si="4"/>
        <v>35363530</v>
      </c>
      <c r="M14" s="16">
        <f t="shared" si="5"/>
        <v>1082120</v>
      </c>
      <c r="N14" s="16">
        <f t="shared" si="6"/>
        <v>70870</v>
      </c>
      <c r="O14" s="16">
        <f t="shared" si="7"/>
        <v>1591350</v>
      </c>
      <c r="P14" s="16">
        <f t="shared" si="8"/>
        <v>247540</v>
      </c>
      <c r="Q14" s="16">
        <f t="shared" si="9"/>
        <v>318270</v>
      </c>
      <c r="R14" s="16">
        <f t="shared" si="10"/>
        <v>2946960</v>
      </c>
      <c r="S14" s="74">
        <f t="shared" si="11"/>
        <v>6257110</v>
      </c>
    </row>
    <row r="15" spans="1:19" ht="30" customHeight="1" x14ac:dyDescent="0.3">
      <c r="A15" s="13">
        <v>9</v>
      </c>
      <c r="B15" s="19" t="s">
        <v>170</v>
      </c>
      <c r="C15" s="19" t="s">
        <v>190</v>
      </c>
      <c r="D15" s="14">
        <v>7</v>
      </c>
      <c r="E15" s="15">
        <v>2135100</v>
      </c>
      <c r="F15" s="15">
        <f t="shared" si="1"/>
        <v>25621200</v>
      </c>
      <c r="G15" s="15">
        <f t="shared" si="2"/>
        <v>2562120</v>
      </c>
      <c r="H15" s="20">
        <v>30</v>
      </c>
      <c r="I15" s="15">
        <f t="shared" si="12"/>
        <v>5516520</v>
      </c>
      <c r="J15" s="15">
        <f>120000*12</f>
        <v>1440000</v>
      </c>
      <c r="K15" s="74">
        <f t="shared" si="3"/>
        <v>35139840</v>
      </c>
      <c r="L15" s="74">
        <f t="shared" si="4"/>
        <v>35139840</v>
      </c>
      <c r="M15" s="16">
        <f t="shared" si="5"/>
        <v>1075270</v>
      </c>
      <c r="N15" s="16">
        <f t="shared" si="6"/>
        <v>70430</v>
      </c>
      <c r="O15" s="16">
        <f t="shared" si="7"/>
        <v>1581290</v>
      </c>
      <c r="P15" s="16">
        <f t="shared" si="8"/>
        <v>245970</v>
      </c>
      <c r="Q15" s="16">
        <f t="shared" si="9"/>
        <v>316250</v>
      </c>
      <c r="R15" s="16">
        <f t="shared" si="10"/>
        <v>2928320</v>
      </c>
      <c r="S15" s="74">
        <f t="shared" si="11"/>
        <v>6217530</v>
      </c>
    </row>
    <row r="16" spans="1:19" ht="30" customHeight="1" x14ac:dyDescent="0.3">
      <c r="A16" s="13">
        <v>10</v>
      </c>
      <c r="B16" s="19" t="s">
        <v>133</v>
      </c>
      <c r="C16" s="19" t="s">
        <v>191</v>
      </c>
      <c r="D16" s="14">
        <v>8</v>
      </c>
      <c r="E16" s="15">
        <v>2225300</v>
      </c>
      <c r="F16" s="15">
        <f t="shared" si="1"/>
        <v>26703600</v>
      </c>
      <c r="G16" s="15">
        <f t="shared" si="2"/>
        <v>2670360</v>
      </c>
      <c r="H16" s="20">
        <v>30</v>
      </c>
      <c r="I16" s="15">
        <f t="shared" si="12"/>
        <v>5749570</v>
      </c>
      <c r="J16" s="15">
        <v>720000</v>
      </c>
      <c r="K16" s="74">
        <f t="shared" si="3"/>
        <v>35843530</v>
      </c>
      <c r="L16" s="74">
        <f t="shared" si="4"/>
        <v>35843530</v>
      </c>
      <c r="M16" s="16">
        <f t="shared" si="5"/>
        <v>1096810</v>
      </c>
      <c r="N16" s="16">
        <f t="shared" si="6"/>
        <v>71840</v>
      </c>
      <c r="O16" s="16">
        <f t="shared" si="7"/>
        <v>1612950</v>
      </c>
      <c r="P16" s="16">
        <f t="shared" si="8"/>
        <v>250900</v>
      </c>
      <c r="Q16" s="16">
        <f t="shared" si="9"/>
        <v>322590</v>
      </c>
      <c r="R16" s="16">
        <f t="shared" si="10"/>
        <v>2986960</v>
      </c>
      <c r="S16" s="74">
        <f t="shared" si="11"/>
        <v>6342050</v>
      </c>
    </row>
    <row r="17" spans="1:19" ht="30" customHeight="1" x14ac:dyDescent="0.3">
      <c r="A17" s="13">
        <v>11</v>
      </c>
      <c r="B17" s="19" t="s">
        <v>137</v>
      </c>
      <c r="C17" s="19" t="s">
        <v>192</v>
      </c>
      <c r="D17" s="14">
        <v>10</v>
      </c>
      <c r="E17" s="15">
        <v>2400800</v>
      </c>
      <c r="F17" s="15">
        <f t="shared" si="1"/>
        <v>28809600</v>
      </c>
      <c r="G17" s="15">
        <f t="shared" si="2"/>
        <v>2880960</v>
      </c>
      <c r="H17" s="20">
        <v>30</v>
      </c>
      <c r="I17" s="15">
        <f t="shared" si="12"/>
        <v>6203020</v>
      </c>
      <c r="J17" s="15">
        <f>120000*4</f>
        <v>480000</v>
      </c>
      <c r="K17" s="74">
        <f t="shared" si="3"/>
        <v>38373580</v>
      </c>
      <c r="L17" s="74">
        <f t="shared" si="4"/>
        <v>38373580</v>
      </c>
      <c r="M17" s="16">
        <f t="shared" si="5"/>
        <v>1174230</v>
      </c>
      <c r="N17" s="16">
        <f t="shared" si="6"/>
        <v>76910</v>
      </c>
      <c r="O17" s="16">
        <f t="shared" si="7"/>
        <v>1726810</v>
      </c>
      <c r="P17" s="16">
        <f t="shared" si="8"/>
        <v>268610</v>
      </c>
      <c r="Q17" s="16">
        <f t="shared" si="9"/>
        <v>345360</v>
      </c>
      <c r="R17" s="16">
        <f t="shared" si="10"/>
        <v>3197790</v>
      </c>
      <c r="S17" s="74">
        <f t="shared" si="11"/>
        <v>6789710</v>
      </c>
    </row>
    <row r="18" spans="1:19" ht="30" customHeight="1" x14ac:dyDescent="0.3">
      <c r="A18" s="13">
        <v>12</v>
      </c>
      <c r="B18" s="19" t="s">
        <v>238</v>
      </c>
      <c r="C18" s="19" t="s">
        <v>193</v>
      </c>
      <c r="D18" s="14">
        <v>2</v>
      </c>
      <c r="E18" s="15">
        <v>1707000</v>
      </c>
      <c r="F18" s="15">
        <f t="shared" si="1"/>
        <v>20484000</v>
      </c>
      <c r="G18" s="15">
        <f t="shared" si="2"/>
        <v>2048400</v>
      </c>
      <c r="H18" s="20">
        <v>30</v>
      </c>
      <c r="I18" s="15">
        <f t="shared" si="12"/>
        <v>4410430</v>
      </c>
      <c r="J18" s="15">
        <f>40000*12</f>
        <v>480000</v>
      </c>
      <c r="K18" s="74">
        <f t="shared" si="3"/>
        <v>27422830</v>
      </c>
      <c r="L18" s="74">
        <f t="shared" si="4"/>
        <v>27422830</v>
      </c>
      <c r="M18" s="16">
        <f t="shared" si="5"/>
        <v>839130</v>
      </c>
      <c r="N18" s="16">
        <f t="shared" si="6"/>
        <v>54960</v>
      </c>
      <c r="O18" s="16">
        <f t="shared" si="7"/>
        <v>1234020</v>
      </c>
      <c r="P18" s="16">
        <f t="shared" si="8"/>
        <v>191950</v>
      </c>
      <c r="Q18" s="16">
        <f t="shared" si="9"/>
        <v>246800</v>
      </c>
      <c r="R18" s="16">
        <f t="shared" si="10"/>
        <v>2285230</v>
      </c>
      <c r="S18" s="74">
        <f t="shared" si="11"/>
        <v>4852090</v>
      </c>
    </row>
    <row r="20" spans="1:19" x14ac:dyDescent="0.3">
      <c r="N20" s="112">
        <f>M6+N6+O6+P6+Q6</f>
        <v>46734290</v>
      </c>
    </row>
  </sheetData>
  <mergeCells count="13">
    <mergeCell ref="A6:D6"/>
    <mergeCell ref="A3:A5"/>
    <mergeCell ref="B3:B5"/>
    <mergeCell ref="D3:D5"/>
    <mergeCell ref="E3:F4"/>
    <mergeCell ref="C3:C5"/>
    <mergeCell ref="A1:S1"/>
    <mergeCell ref="K3:K5"/>
    <mergeCell ref="L3:L5"/>
    <mergeCell ref="M3:S4"/>
    <mergeCell ref="G3:G4"/>
    <mergeCell ref="H3:I3"/>
    <mergeCell ref="J3:J4"/>
  </mergeCells>
  <phoneticPr fontId="19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22"/>
  <sheetViews>
    <sheetView zoomScaleNormal="100" workbookViewId="0">
      <pane xSplit="3" ySplit="4" topLeftCell="D5" activePane="bottomRight" state="frozen"/>
      <selection pane="topRight"/>
      <selection pane="bottomLeft"/>
      <selection pane="bottomRight" activeCell="G20" sqref="G20"/>
    </sheetView>
  </sheetViews>
  <sheetFormatPr defaultColWidth="8.875" defaultRowHeight="16.5" x14ac:dyDescent="0.3"/>
  <cols>
    <col min="1" max="1" width="5.75" style="75" customWidth="1"/>
    <col min="2" max="2" width="16.25" style="76" customWidth="1"/>
    <col min="3" max="3" width="9.25" style="76" bestFit="1" customWidth="1"/>
    <col min="4" max="4" width="7.75" style="76" customWidth="1"/>
    <col min="5" max="5" width="15" style="79" customWidth="1"/>
    <col min="6" max="6" width="16.625" style="79" customWidth="1"/>
    <col min="7" max="7" width="14.125" style="79" customWidth="1"/>
    <col min="8" max="8" width="12.125" style="79" customWidth="1"/>
    <col min="9" max="9" width="14.125" style="79" bestFit="1" customWidth="1"/>
    <col min="10" max="11" width="14.5" style="80" bestFit="1" customWidth="1"/>
    <col min="12" max="12" width="15.75" style="81" bestFit="1" customWidth="1"/>
    <col min="13" max="13" width="14.5" style="80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60" t="s">
        <v>228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</row>
    <row r="2" spans="1:13" ht="24.75" customHeight="1" x14ac:dyDescent="0.15">
      <c r="A2" s="280" t="s">
        <v>156</v>
      </c>
      <c r="B2" s="280"/>
      <c r="C2" s="95"/>
      <c r="E2" s="77"/>
      <c r="F2" s="77"/>
      <c r="G2" s="77"/>
      <c r="H2" s="78"/>
      <c r="I2" s="78"/>
      <c r="M2" s="7" t="s">
        <v>123</v>
      </c>
    </row>
    <row r="3" spans="1:13" ht="30" customHeight="1" thickBot="1" x14ac:dyDescent="0.35">
      <c r="A3" s="84" t="s">
        <v>78</v>
      </c>
      <c r="B3" s="84" t="s">
        <v>74</v>
      </c>
      <c r="C3" s="84" t="s">
        <v>73</v>
      </c>
      <c r="D3" s="84" t="s">
        <v>72</v>
      </c>
      <c r="E3" s="83" t="s">
        <v>64</v>
      </c>
      <c r="F3" s="91" t="s">
        <v>158</v>
      </c>
      <c r="G3" s="84" t="s">
        <v>163</v>
      </c>
      <c r="H3" s="84" t="s">
        <v>159</v>
      </c>
      <c r="I3" s="84" t="s">
        <v>144</v>
      </c>
      <c r="J3" s="85" t="s">
        <v>153</v>
      </c>
      <c r="K3" s="85" t="s">
        <v>71</v>
      </c>
      <c r="L3" s="86" t="s">
        <v>56</v>
      </c>
      <c r="M3" s="85" t="s">
        <v>148</v>
      </c>
    </row>
    <row r="4" spans="1:13" ht="30" customHeight="1" thickTop="1" x14ac:dyDescent="0.3">
      <c r="A4" s="279" t="s">
        <v>67</v>
      </c>
      <c r="B4" s="279"/>
      <c r="C4" s="279"/>
      <c r="D4" s="279"/>
      <c r="E4" s="87">
        <f>SUM(E5:E16)</f>
        <v>32579400</v>
      </c>
      <c r="F4" s="87">
        <f>SUM(F5:F16)</f>
        <v>390952800</v>
      </c>
      <c r="G4" s="87">
        <f>SUM(G5:G16)</f>
        <v>39095280</v>
      </c>
      <c r="H4" s="111">
        <f>SUM(H5:H16)</f>
        <v>7680000</v>
      </c>
      <c r="I4" s="87">
        <f>SUM(I6:I16)</f>
        <v>61550250</v>
      </c>
      <c r="J4" s="87">
        <f>SUM(J5:J16)</f>
        <v>108325530</v>
      </c>
      <c r="K4" s="87">
        <f>SUM(K5:K16)</f>
        <v>499278330</v>
      </c>
      <c r="L4" s="88">
        <f>SUM(L5:L16)</f>
        <v>49927780</v>
      </c>
      <c r="M4" s="87">
        <f>SUM(M5:M16)</f>
        <v>449350550</v>
      </c>
    </row>
    <row r="5" spans="1:13" ht="30" customHeight="1" x14ac:dyDescent="0.3">
      <c r="A5" s="13">
        <v>1</v>
      </c>
      <c r="B5" s="13" t="s">
        <v>167</v>
      </c>
      <c r="C5" s="13" t="s">
        <v>81</v>
      </c>
      <c r="D5" s="14">
        <v>22</v>
      </c>
      <c r="E5" s="15">
        <v>4449700</v>
      </c>
      <c r="F5" s="15">
        <f t="shared" ref="F5:F16" si="0">E5*12</f>
        <v>53396400</v>
      </c>
      <c r="G5" s="15">
        <f t="shared" ref="G5:G16" si="1">E5*120%</f>
        <v>5339640</v>
      </c>
      <c r="H5" s="15">
        <f>80000*12</f>
        <v>960000</v>
      </c>
      <c r="J5" s="82">
        <f t="shared" ref="J5:J16" si="2">SUM(G5:I5)</f>
        <v>6299640</v>
      </c>
      <c r="K5" s="82">
        <f t="shared" ref="K5:K16" si="3">F5+J5</f>
        <v>59696040</v>
      </c>
      <c r="L5" s="82">
        <f t="shared" ref="L5:L16" si="4">ROUNDDOWN(K5*10%,-1)</f>
        <v>5969600</v>
      </c>
      <c r="M5" s="82">
        <f t="shared" ref="M5:M16" si="5">K5-L5</f>
        <v>53726440</v>
      </c>
    </row>
    <row r="6" spans="1:13" ht="30" customHeight="1" x14ac:dyDescent="0.3">
      <c r="A6" s="13">
        <v>2</v>
      </c>
      <c r="B6" s="19" t="s">
        <v>134</v>
      </c>
      <c r="C6" s="19" t="s">
        <v>230</v>
      </c>
      <c r="D6" s="14">
        <v>11</v>
      </c>
      <c r="E6" s="15">
        <v>2968200</v>
      </c>
      <c r="F6" s="15">
        <f t="shared" si="0"/>
        <v>35618400</v>
      </c>
      <c r="G6" s="15">
        <f t="shared" si="1"/>
        <v>3561840</v>
      </c>
      <c r="H6" s="15">
        <f>120000*12</f>
        <v>1440000</v>
      </c>
      <c r="I6" s="15">
        <f t="shared" ref="I6:I7" si="6">ROUNDDOWN(F6*1/209*1.5*8,-1)</f>
        <v>2045070</v>
      </c>
      <c r="J6" s="82">
        <f t="shared" si="2"/>
        <v>7046910</v>
      </c>
      <c r="K6" s="82">
        <f t="shared" si="3"/>
        <v>42665310</v>
      </c>
      <c r="L6" s="82">
        <f t="shared" si="4"/>
        <v>4266530</v>
      </c>
      <c r="M6" s="82">
        <f t="shared" si="5"/>
        <v>38398780</v>
      </c>
    </row>
    <row r="7" spans="1:13" ht="30" customHeight="1" x14ac:dyDescent="0.3">
      <c r="A7" s="13">
        <v>3</v>
      </c>
      <c r="B7" s="19" t="s">
        <v>229</v>
      </c>
      <c r="C7" s="19" t="s">
        <v>231</v>
      </c>
      <c r="D7" s="14">
        <v>18</v>
      </c>
      <c r="E7" s="15">
        <v>2905600</v>
      </c>
      <c r="F7" s="15">
        <f t="shared" si="0"/>
        <v>34867200</v>
      </c>
      <c r="G7" s="15">
        <f t="shared" si="1"/>
        <v>3486720</v>
      </c>
      <c r="H7" s="15">
        <f>40000*12</f>
        <v>480000</v>
      </c>
      <c r="I7" s="15">
        <f t="shared" si="6"/>
        <v>2001940</v>
      </c>
      <c r="J7" s="82">
        <f t="shared" si="2"/>
        <v>5968660</v>
      </c>
      <c r="K7" s="82">
        <f t="shared" si="3"/>
        <v>40835860</v>
      </c>
      <c r="L7" s="82">
        <f t="shared" si="4"/>
        <v>4083580</v>
      </c>
      <c r="M7" s="82">
        <f t="shared" si="5"/>
        <v>36752280</v>
      </c>
    </row>
    <row r="8" spans="1:13" ht="30" customHeight="1" x14ac:dyDescent="0.3">
      <c r="A8" s="13">
        <v>4</v>
      </c>
      <c r="B8" s="13" t="s">
        <v>232</v>
      </c>
      <c r="C8" s="13" t="s">
        <v>58</v>
      </c>
      <c r="D8" s="14">
        <v>20</v>
      </c>
      <c r="E8" s="15">
        <v>3607000</v>
      </c>
      <c r="F8" s="15">
        <f t="shared" si="0"/>
        <v>43284000</v>
      </c>
      <c r="G8" s="15">
        <f t="shared" si="1"/>
        <v>4328400</v>
      </c>
      <c r="H8" s="15"/>
      <c r="I8" s="15">
        <f>ROUNDDOWN(F8*1/209*1.5*30,-1)</f>
        <v>9319520</v>
      </c>
      <c r="J8" s="82">
        <f t="shared" si="2"/>
        <v>13647920</v>
      </c>
      <c r="K8" s="82">
        <f t="shared" si="3"/>
        <v>56931920</v>
      </c>
      <c r="L8" s="82">
        <f t="shared" si="4"/>
        <v>5693190</v>
      </c>
      <c r="M8" s="82">
        <f t="shared" si="5"/>
        <v>51238730</v>
      </c>
    </row>
    <row r="9" spans="1:13" ht="30" customHeight="1" x14ac:dyDescent="0.3">
      <c r="A9" s="13">
        <v>5</v>
      </c>
      <c r="B9" s="13" t="s">
        <v>232</v>
      </c>
      <c r="C9" s="19" t="s">
        <v>85</v>
      </c>
      <c r="D9" s="14">
        <v>17</v>
      </c>
      <c r="E9" s="15">
        <v>3010200</v>
      </c>
      <c r="F9" s="15">
        <f t="shared" si="0"/>
        <v>36122400</v>
      </c>
      <c r="G9" s="15">
        <f t="shared" si="1"/>
        <v>3612240</v>
      </c>
      <c r="H9" s="15">
        <f>80000*12</f>
        <v>960000</v>
      </c>
      <c r="I9" s="15">
        <f>ROUNDDOWN(F9*1/209*1.5*30,-1)</f>
        <v>7777550</v>
      </c>
      <c r="J9" s="82">
        <f t="shared" si="2"/>
        <v>12349790</v>
      </c>
      <c r="K9" s="82">
        <f t="shared" si="3"/>
        <v>48472190</v>
      </c>
      <c r="L9" s="82">
        <f t="shared" si="4"/>
        <v>4847210</v>
      </c>
      <c r="M9" s="82">
        <f t="shared" si="5"/>
        <v>43624980</v>
      </c>
    </row>
    <row r="10" spans="1:13" ht="30" customHeight="1" x14ac:dyDescent="0.3">
      <c r="A10" s="13">
        <v>6</v>
      </c>
      <c r="B10" s="13" t="s">
        <v>232</v>
      </c>
      <c r="C10" s="19" t="s">
        <v>82</v>
      </c>
      <c r="D10" s="14">
        <v>10</v>
      </c>
      <c r="E10" s="15">
        <v>2400800</v>
      </c>
      <c r="F10" s="15">
        <f t="shared" si="0"/>
        <v>28809600</v>
      </c>
      <c r="G10" s="15">
        <f t="shared" si="1"/>
        <v>2880960</v>
      </c>
      <c r="H10" s="15">
        <v>480000</v>
      </c>
      <c r="I10" s="15">
        <f t="shared" ref="I10:I16" si="7">ROUNDDOWN(F10*1/209*1.5*30,-1)</f>
        <v>6203020</v>
      </c>
      <c r="J10" s="82">
        <f t="shared" si="2"/>
        <v>9563980</v>
      </c>
      <c r="K10" s="82">
        <f t="shared" si="3"/>
        <v>38373580</v>
      </c>
      <c r="L10" s="82">
        <f t="shared" si="4"/>
        <v>3837350</v>
      </c>
      <c r="M10" s="82">
        <f t="shared" si="5"/>
        <v>34536230</v>
      </c>
    </row>
    <row r="11" spans="1:13" ht="30" customHeight="1" x14ac:dyDescent="0.3">
      <c r="A11" s="13">
        <v>7</v>
      </c>
      <c r="B11" s="13" t="s">
        <v>232</v>
      </c>
      <c r="C11" s="19" t="s">
        <v>192</v>
      </c>
      <c r="D11" s="14">
        <v>12</v>
      </c>
      <c r="E11" s="15">
        <v>2544400</v>
      </c>
      <c r="F11" s="15">
        <f t="shared" si="0"/>
        <v>30532800</v>
      </c>
      <c r="G11" s="15">
        <f t="shared" si="1"/>
        <v>3053280</v>
      </c>
      <c r="H11" s="15"/>
      <c r="I11" s="15">
        <f t="shared" si="7"/>
        <v>6574040</v>
      </c>
      <c r="J11" s="82">
        <f t="shared" si="2"/>
        <v>9627320</v>
      </c>
      <c r="K11" s="82">
        <f t="shared" si="3"/>
        <v>40160120</v>
      </c>
      <c r="L11" s="82">
        <f t="shared" si="4"/>
        <v>4016010</v>
      </c>
      <c r="M11" s="82">
        <f t="shared" si="5"/>
        <v>36144110</v>
      </c>
    </row>
    <row r="12" spans="1:13" ht="30" customHeight="1" x14ac:dyDescent="0.3">
      <c r="A12" s="13">
        <v>8</v>
      </c>
      <c r="B12" s="13" t="s">
        <v>232</v>
      </c>
      <c r="C12" s="19" t="s">
        <v>194</v>
      </c>
      <c r="D12" s="14">
        <v>9</v>
      </c>
      <c r="E12" s="15">
        <v>2225300</v>
      </c>
      <c r="F12" s="15">
        <f t="shared" si="0"/>
        <v>26703600</v>
      </c>
      <c r="G12" s="15">
        <f t="shared" si="1"/>
        <v>2670360</v>
      </c>
      <c r="H12" s="15">
        <v>240000</v>
      </c>
      <c r="I12" s="15">
        <f t="shared" si="7"/>
        <v>5749570</v>
      </c>
      <c r="J12" s="82">
        <f t="shared" si="2"/>
        <v>8659930</v>
      </c>
      <c r="K12" s="82">
        <f t="shared" si="3"/>
        <v>35363530</v>
      </c>
      <c r="L12" s="82">
        <f t="shared" si="4"/>
        <v>3536350</v>
      </c>
      <c r="M12" s="82">
        <f t="shared" si="5"/>
        <v>31827180</v>
      </c>
    </row>
    <row r="13" spans="1:13" ht="30" customHeight="1" x14ac:dyDescent="0.3">
      <c r="A13" s="13">
        <v>9</v>
      </c>
      <c r="B13" s="13" t="s">
        <v>232</v>
      </c>
      <c r="C13" s="19" t="s">
        <v>233</v>
      </c>
      <c r="D13" s="14">
        <v>7</v>
      </c>
      <c r="E13" s="15">
        <v>2135100</v>
      </c>
      <c r="F13" s="15">
        <f t="shared" si="0"/>
        <v>25621200</v>
      </c>
      <c r="G13" s="15">
        <f t="shared" si="1"/>
        <v>2562120</v>
      </c>
      <c r="H13" s="15">
        <f>120000*12</f>
        <v>1440000</v>
      </c>
      <c r="I13" s="15">
        <f t="shared" si="7"/>
        <v>5516520</v>
      </c>
      <c r="J13" s="82">
        <f t="shared" si="2"/>
        <v>9518640</v>
      </c>
      <c r="K13" s="82">
        <f t="shared" si="3"/>
        <v>35139840</v>
      </c>
      <c r="L13" s="82">
        <f t="shared" si="4"/>
        <v>3513980</v>
      </c>
      <c r="M13" s="82">
        <f t="shared" si="5"/>
        <v>31625860</v>
      </c>
    </row>
    <row r="14" spans="1:13" ht="30" customHeight="1" x14ac:dyDescent="0.3">
      <c r="A14" s="13">
        <v>10</v>
      </c>
      <c r="B14" s="13" t="s">
        <v>232</v>
      </c>
      <c r="C14" s="19" t="s">
        <v>234</v>
      </c>
      <c r="D14" s="14">
        <v>8</v>
      </c>
      <c r="E14" s="15">
        <v>2225300</v>
      </c>
      <c r="F14" s="15">
        <f t="shared" si="0"/>
        <v>26703600</v>
      </c>
      <c r="G14" s="15">
        <f t="shared" si="1"/>
        <v>2670360</v>
      </c>
      <c r="H14" s="15">
        <v>720000</v>
      </c>
      <c r="I14" s="15">
        <f t="shared" si="7"/>
        <v>5749570</v>
      </c>
      <c r="J14" s="82">
        <f t="shared" si="2"/>
        <v>9139930</v>
      </c>
      <c r="K14" s="82">
        <f t="shared" si="3"/>
        <v>35843530</v>
      </c>
      <c r="L14" s="82">
        <f t="shared" si="4"/>
        <v>3584350</v>
      </c>
      <c r="M14" s="82">
        <f t="shared" si="5"/>
        <v>32259180</v>
      </c>
    </row>
    <row r="15" spans="1:13" ht="30" customHeight="1" x14ac:dyDescent="0.3">
      <c r="A15" s="13">
        <v>11</v>
      </c>
      <c r="B15" s="13" t="s">
        <v>232</v>
      </c>
      <c r="C15" s="19" t="s">
        <v>237</v>
      </c>
      <c r="D15" s="14">
        <v>10</v>
      </c>
      <c r="E15" s="15">
        <v>2400800</v>
      </c>
      <c r="F15" s="15">
        <f t="shared" si="0"/>
        <v>28809600</v>
      </c>
      <c r="G15" s="15">
        <f t="shared" si="1"/>
        <v>2880960</v>
      </c>
      <c r="H15" s="15">
        <f>120000*4</f>
        <v>480000</v>
      </c>
      <c r="I15" s="15">
        <f t="shared" si="7"/>
        <v>6203020</v>
      </c>
      <c r="J15" s="82">
        <f t="shared" si="2"/>
        <v>9563980</v>
      </c>
      <c r="K15" s="82">
        <f t="shared" si="3"/>
        <v>38373580</v>
      </c>
      <c r="L15" s="82">
        <f t="shared" si="4"/>
        <v>3837350</v>
      </c>
      <c r="M15" s="82">
        <f t="shared" si="5"/>
        <v>34536230</v>
      </c>
    </row>
    <row r="16" spans="1:13" ht="30" customHeight="1" x14ac:dyDescent="0.3">
      <c r="A16" s="13">
        <v>12</v>
      </c>
      <c r="B16" s="13" t="s">
        <v>235</v>
      </c>
      <c r="C16" s="19" t="s">
        <v>236</v>
      </c>
      <c r="D16" s="14">
        <v>2</v>
      </c>
      <c r="E16" s="15">
        <v>1707000</v>
      </c>
      <c r="F16" s="15">
        <f t="shared" si="0"/>
        <v>20484000</v>
      </c>
      <c r="G16" s="15">
        <f t="shared" si="1"/>
        <v>2048400</v>
      </c>
      <c r="H16" s="15">
        <f>40000*12</f>
        <v>480000</v>
      </c>
      <c r="I16" s="15">
        <f t="shared" si="7"/>
        <v>4410430</v>
      </c>
      <c r="J16" s="82">
        <f t="shared" si="2"/>
        <v>6938830</v>
      </c>
      <c r="K16" s="82">
        <f t="shared" si="3"/>
        <v>27422830</v>
      </c>
      <c r="L16" s="82">
        <f t="shared" si="4"/>
        <v>2742280</v>
      </c>
      <c r="M16" s="82">
        <f t="shared" si="5"/>
        <v>24680550</v>
      </c>
    </row>
    <row r="17" ht="19.5" customHeight="1" x14ac:dyDescent="0.3"/>
    <row r="18" ht="19.5" customHeight="1" x14ac:dyDescent="0.3"/>
    <row r="19" ht="19.5" customHeight="1" x14ac:dyDescent="0.3"/>
    <row r="20" ht="19.5" customHeight="1" x14ac:dyDescent="0.3"/>
    <row r="21" ht="19.5" customHeight="1" x14ac:dyDescent="0.3"/>
    <row r="22" ht="19.5" customHeight="1" x14ac:dyDescent="0.3"/>
  </sheetData>
  <mergeCells count="3">
    <mergeCell ref="A4:D4"/>
    <mergeCell ref="A2:B2"/>
    <mergeCell ref="A1:M1"/>
  </mergeCells>
  <phoneticPr fontId="19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XFD27"/>
  <sheetViews>
    <sheetView zoomScaleNormal="100" workbookViewId="0">
      <selection activeCell="D19" sqref="D19"/>
    </sheetView>
  </sheetViews>
  <sheetFormatPr defaultColWidth="8.875" defaultRowHeight="16.5" x14ac:dyDescent="0.3"/>
  <cols>
    <col min="1" max="1" width="19.75" style="29" bestFit="1" customWidth="1"/>
    <col min="2" max="2" width="17.625" style="56" customWidth="1"/>
    <col min="3" max="3" width="19.625" style="29" customWidth="1"/>
    <col min="4" max="4" width="37.5" style="29" bestFit="1" customWidth="1"/>
    <col min="5" max="233" width="10" style="29" customWidth="1"/>
    <col min="234" max="16375" width="9" style="24"/>
  </cols>
  <sheetData>
    <row r="1" spans="1:233 16376:16384" ht="22.5" customHeight="1" x14ac:dyDescent="0.3">
      <c r="A1" s="281" t="s">
        <v>183</v>
      </c>
      <c r="B1" s="281"/>
      <c r="C1" s="281"/>
      <c r="D1" s="281"/>
      <c r="E1" s="281"/>
    </row>
    <row r="2" spans="1:233 16376:16384" ht="17.25" customHeight="1" x14ac:dyDescent="0.25">
      <c r="A2" s="27" t="s">
        <v>156</v>
      </c>
      <c r="B2" s="26"/>
      <c r="C2" s="25"/>
      <c r="D2" s="25"/>
      <c r="E2" s="69" t="s">
        <v>123</v>
      </c>
    </row>
    <row r="3" spans="1:233 16376:16384" ht="21.95" customHeight="1" x14ac:dyDescent="0.3">
      <c r="A3" s="66" t="s">
        <v>68</v>
      </c>
      <c r="B3" s="68" t="s">
        <v>164</v>
      </c>
      <c r="C3" s="66" t="s">
        <v>76</v>
      </c>
      <c r="D3" s="67" t="s">
        <v>166</v>
      </c>
      <c r="E3" s="66" t="s">
        <v>83</v>
      </c>
    </row>
    <row r="4" spans="1:233 16376:16384" ht="21.95" hidden="1" customHeight="1" x14ac:dyDescent="0.3">
      <c r="A4" s="59" t="s">
        <v>168</v>
      </c>
      <c r="B4" s="63" t="s">
        <v>24</v>
      </c>
      <c r="C4" s="62"/>
      <c r="D4" s="64" t="s">
        <v>174</v>
      </c>
      <c r="E4" s="282" t="s">
        <v>201</v>
      </c>
    </row>
    <row r="5" spans="1:233 16376:16384" ht="21.95" customHeight="1" x14ac:dyDescent="0.3">
      <c r="A5" s="59" t="s">
        <v>147</v>
      </c>
      <c r="B5" s="63" t="s">
        <v>29</v>
      </c>
      <c r="C5" s="62">
        <v>43812000</v>
      </c>
      <c r="D5" s="64" t="s">
        <v>200</v>
      </c>
      <c r="E5" s="283"/>
    </row>
    <row r="6" spans="1:233 16376:16384" ht="21.95" customHeight="1" x14ac:dyDescent="0.3">
      <c r="A6" s="59" t="s">
        <v>28</v>
      </c>
      <c r="B6" s="63" t="s">
        <v>36</v>
      </c>
      <c r="C6" s="62">
        <v>428100</v>
      </c>
      <c r="D6" s="60" t="s">
        <v>202</v>
      </c>
      <c r="E6" s="61"/>
    </row>
    <row r="7" spans="1:233 16376:16384" ht="24" x14ac:dyDescent="0.3">
      <c r="A7" s="59" t="s">
        <v>130</v>
      </c>
      <c r="B7" s="63" t="s">
        <v>80</v>
      </c>
      <c r="C7" s="99">
        <v>628000</v>
      </c>
      <c r="D7" s="100" t="s">
        <v>197</v>
      </c>
      <c r="E7" s="61" t="s">
        <v>186</v>
      </c>
    </row>
    <row r="8" spans="1:233 16376:16384" ht="21.95" customHeight="1" x14ac:dyDescent="0.3">
      <c r="A8" s="287" t="s">
        <v>79</v>
      </c>
      <c r="B8" s="287"/>
      <c r="C8" s="103">
        <f>SUM(C4:C7)</f>
        <v>44868100</v>
      </c>
      <c r="D8" s="71"/>
      <c r="E8" s="70"/>
    </row>
    <row r="9" spans="1:233 16376:16384" ht="9" customHeight="1" x14ac:dyDescent="0.3">
      <c r="A9" s="92"/>
      <c r="B9" s="92"/>
      <c r="C9" s="94"/>
      <c r="D9" s="93"/>
      <c r="E9" s="93"/>
    </row>
    <row r="10" spans="1:233 16376:16384" ht="19.5" customHeight="1" x14ac:dyDescent="0.3">
      <c r="A10" s="281" t="s">
        <v>184</v>
      </c>
      <c r="B10" s="281"/>
      <c r="C10" s="281"/>
      <c r="D10" s="281"/>
      <c r="E10" s="281"/>
    </row>
    <row r="11" spans="1:233 16376:16384" ht="21.95" customHeight="1" x14ac:dyDescent="0.25">
      <c r="A11" s="27" t="s">
        <v>156</v>
      </c>
      <c r="B11" s="26"/>
      <c r="C11" s="25"/>
      <c r="D11" s="25"/>
      <c r="E11" s="69" t="s">
        <v>123</v>
      </c>
      <c r="F11" s="101"/>
    </row>
    <row r="12" spans="1:233 16376:16384" ht="21.95" customHeight="1" x14ac:dyDescent="0.3">
      <c r="A12" s="66" t="s">
        <v>68</v>
      </c>
      <c r="B12" s="68" t="s">
        <v>164</v>
      </c>
      <c r="C12" s="66" t="s">
        <v>76</v>
      </c>
      <c r="D12" s="67" t="s">
        <v>166</v>
      </c>
      <c r="E12" s="66" t="s">
        <v>83</v>
      </c>
    </row>
    <row r="13" spans="1:233 16376:16384" ht="21.95" hidden="1" customHeight="1" x14ac:dyDescent="0.3">
      <c r="A13" s="59" t="s">
        <v>141</v>
      </c>
      <c r="B13" s="63" t="s">
        <v>25</v>
      </c>
      <c r="C13" s="62"/>
      <c r="D13" s="64" t="s">
        <v>86</v>
      </c>
      <c r="E13" s="61"/>
    </row>
    <row r="14" spans="1:233 16376:16384" ht="21.95" customHeight="1" x14ac:dyDescent="0.3">
      <c r="A14" s="59" t="s">
        <v>203</v>
      </c>
      <c r="B14" s="63" t="s">
        <v>204</v>
      </c>
      <c r="C14" s="62">
        <v>1728000</v>
      </c>
      <c r="D14" s="64" t="s">
        <v>205</v>
      </c>
      <c r="E14" s="59" t="s">
        <v>206</v>
      </c>
    </row>
    <row r="15" spans="1:233 16376:16384" s="24" customFormat="1" ht="30.75" customHeight="1" x14ac:dyDescent="0.3">
      <c r="A15" s="59" t="s">
        <v>139</v>
      </c>
      <c r="B15" s="63" t="s">
        <v>32</v>
      </c>
      <c r="C15" s="62">
        <v>4320000</v>
      </c>
      <c r="D15" s="65" t="s">
        <v>208</v>
      </c>
      <c r="E15" s="59" t="s">
        <v>207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  <c r="GA15" s="29"/>
      <c r="GB15" s="29"/>
      <c r="GC15" s="29"/>
      <c r="GD15" s="29"/>
      <c r="GE15" s="29"/>
      <c r="GF15" s="29"/>
      <c r="GG15" s="29"/>
      <c r="GH15" s="29"/>
      <c r="GI15" s="29"/>
      <c r="GJ15" s="29"/>
      <c r="GK15" s="29"/>
      <c r="GL15" s="29"/>
      <c r="GM15" s="29"/>
      <c r="GN15" s="29"/>
      <c r="GO15" s="29"/>
      <c r="GP15" s="29"/>
      <c r="GQ15" s="29"/>
      <c r="GR15" s="29"/>
      <c r="GS15" s="29"/>
      <c r="GT15" s="29"/>
      <c r="GU15" s="29"/>
      <c r="GV15" s="29"/>
      <c r="GW15" s="29"/>
      <c r="GX15" s="29"/>
      <c r="GY15" s="29"/>
      <c r="GZ15" s="29"/>
      <c r="HA15" s="29"/>
      <c r="HB15" s="29"/>
      <c r="HC15" s="29"/>
      <c r="HD15" s="29"/>
      <c r="HE15" s="29"/>
      <c r="HF15" s="29"/>
      <c r="HG15" s="29"/>
      <c r="HH15" s="29"/>
      <c r="HI15" s="29"/>
      <c r="HJ15" s="29"/>
      <c r="HK15" s="29"/>
      <c r="HL15" s="29"/>
      <c r="HM15" s="29"/>
      <c r="HN15" s="29"/>
      <c r="HO15" s="29"/>
      <c r="HP15" s="29"/>
      <c r="HQ15" s="29"/>
      <c r="HR15" s="29"/>
      <c r="HS15" s="29"/>
      <c r="HT15" s="29"/>
      <c r="HU15" s="29"/>
      <c r="HV15" s="29"/>
      <c r="HW15" s="29"/>
      <c r="HX15" s="29"/>
      <c r="HY15" s="29"/>
      <c r="XEV15"/>
      <c r="XEW15"/>
      <c r="XEX15"/>
      <c r="XEY15"/>
      <c r="XEZ15"/>
      <c r="XFA15"/>
      <c r="XFB15"/>
      <c r="XFC15"/>
      <c r="XFD15"/>
    </row>
    <row r="16" spans="1:233 16376:16384" ht="21.75" customHeight="1" x14ac:dyDescent="0.3">
      <c r="A16" s="59" t="s">
        <v>23</v>
      </c>
      <c r="B16" s="63" t="s">
        <v>185</v>
      </c>
      <c r="C16" s="62">
        <v>2376000</v>
      </c>
      <c r="D16" s="65" t="s">
        <v>210</v>
      </c>
      <c r="E16" s="59" t="s">
        <v>209</v>
      </c>
    </row>
    <row r="17" spans="1:233 16376:16384" s="24" customFormat="1" ht="21.95" customHeight="1" x14ac:dyDescent="0.3">
      <c r="A17" s="59" t="s">
        <v>140</v>
      </c>
      <c r="B17" s="63" t="s">
        <v>33</v>
      </c>
      <c r="C17" s="62">
        <v>720000</v>
      </c>
      <c r="D17" s="64" t="s">
        <v>211</v>
      </c>
      <c r="E17" s="59" t="s">
        <v>212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  <c r="GA17" s="29"/>
      <c r="GB17" s="29"/>
      <c r="GC17" s="29"/>
      <c r="GD17" s="29"/>
      <c r="GE17" s="29"/>
      <c r="GF17" s="29"/>
      <c r="GG17" s="29"/>
      <c r="GH17" s="29"/>
      <c r="GI17" s="29"/>
      <c r="GJ17" s="29"/>
      <c r="GK17" s="29"/>
      <c r="GL17" s="29"/>
      <c r="GM17" s="29"/>
      <c r="GN17" s="29"/>
      <c r="GO17" s="29"/>
      <c r="GP17" s="29"/>
      <c r="GQ17" s="29"/>
      <c r="GR17" s="29"/>
      <c r="GS17" s="29"/>
      <c r="GT17" s="29"/>
      <c r="GU17" s="29"/>
      <c r="GV17" s="29"/>
      <c r="GW17" s="29"/>
      <c r="GX17" s="29"/>
      <c r="GY17" s="29"/>
      <c r="GZ17" s="29"/>
      <c r="HA17" s="29"/>
      <c r="HB17" s="29"/>
      <c r="HC17" s="29"/>
      <c r="HD17" s="29"/>
      <c r="HE17" s="29"/>
      <c r="HF17" s="29"/>
      <c r="HG17" s="29"/>
      <c r="HH17" s="29"/>
      <c r="HI17" s="29"/>
      <c r="HJ17" s="29"/>
      <c r="HK17" s="29"/>
      <c r="HL17" s="29"/>
      <c r="HM17" s="29"/>
      <c r="HN17" s="29"/>
      <c r="HO17" s="29"/>
      <c r="HP17" s="29"/>
      <c r="HQ17" s="29"/>
      <c r="HR17" s="29"/>
      <c r="HS17" s="29"/>
      <c r="HT17" s="29"/>
      <c r="HU17" s="29"/>
      <c r="HV17" s="29"/>
      <c r="HW17" s="29"/>
      <c r="HX17" s="29"/>
      <c r="HY17" s="29"/>
      <c r="XEV17"/>
      <c r="XEW17"/>
      <c r="XEX17"/>
      <c r="XEY17"/>
      <c r="XEZ17"/>
      <c r="XFA17"/>
      <c r="XFB17"/>
      <c r="XFC17"/>
      <c r="XFD17"/>
    </row>
    <row r="18" spans="1:233 16376:16384" s="24" customFormat="1" ht="28.5" customHeight="1" x14ac:dyDescent="0.3">
      <c r="A18" s="59" t="s">
        <v>39</v>
      </c>
      <c r="B18" s="63" t="s">
        <v>178</v>
      </c>
      <c r="C18" s="102">
        <v>3074000</v>
      </c>
      <c r="D18" s="65" t="s">
        <v>214</v>
      </c>
      <c r="E18" s="59" t="s">
        <v>213</v>
      </c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  <c r="GA18" s="29"/>
      <c r="GB18" s="29"/>
      <c r="GC18" s="29"/>
      <c r="GD18" s="29"/>
      <c r="GE18" s="29"/>
      <c r="GF18" s="29"/>
      <c r="GG18" s="29"/>
      <c r="GH18" s="29"/>
      <c r="GI18" s="29"/>
      <c r="GJ18" s="29"/>
      <c r="GK18" s="29"/>
      <c r="GL18" s="29"/>
      <c r="GM18" s="29"/>
      <c r="GN18" s="29"/>
      <c r="GO18" s="29"/>
      <c r="GP18" s="29"/>
      <c r="GQ18" s="29"/>
      <c r="GR18" s="29"/>
      <c r="GS18" s="29"/>
      <c r="GT18" s="29"/>
      <c r="GU18" s="29"/>
      <c r="GV18" s="29"/>
      <c r="GW18" s="29"/>
      <c r="GX18" s="29"/>
      <c r="GY18" s="29"/>
      <c r="GZ18" s="29"/>
      <c r="HA18" s="29"/>
      <c r="HB18" s="29"/>
      <c r="HC18" s="29"/>
      <c r="HD18" s="29"/>
      <c r="HE18" s="29"/>
      <c r="HF18" s="29"/>
      <c r="HG18" s="29"/>
      <c r="HH18" s="29"/>
      <c r="HI18" s="29"/>
      <c r="HJ18" s="29"/>
      <c r="HK18" s="29"/>
      <c r="HL18" s="29"/>
      <c r="HM18" s="29"/>
      <c r="HN18" s="29"/>
      <c r="HO18" s="29"/>
      <c r="HP18" s="29"/>
      <c r="HQ18" s="29"/>
      <c r="HR18" s="29"/>
      <c r="HS18" s="29"/>
      <c r="HT18" s="29"/>
      <c r="HU18" s="29"/>
      <c r="HV18" s="29"/>
      <c r="HW18" s="29"/>
      <c r="HX18" s="29"/>
      <c r="HY18" s="29"/>
      <c r="XEV18"/>
      <c r="XEW18"/>
      <c r="XEX18"/>
      <c r="XEY18"/>
      <c r="XEZ18"/>
      <c r="XFA18"/>
      <c r="XFB18"/>
      <c r="XFC18"/>
      <c r="XFD18"/>
    </row>
    <row r="19" spans="1:233 16376:16384" ht="27" customHeight="1" x14ac:dyDescent="0.3">
      <c r="A19" s="59" t="s">
        <v>100</v>
      </c>
      <c r="B19" s="63" t="s">
        <v>30</v>
      </c>
      <c r="C19" s="62">
        <v>990000</v>
      </c>
      <c r="D19" s="65" t="s">
        <v>215</v>
      </c>
      <c r="E19" s="59" t="s">
        <v>216</v>
      </c>
    </row>
    <row r="20" spans="1:233 16376:16384" ht="27" customHeight="1" x14ac:dyDescent="0.3">
      <c r="A20" s="59" t="s">
        <v>217</v>
      </c>
      <c r="B20" s="63" t="s">
        <v>218</v>
      </c>
      <c r="C20" s="62">
        <v>480000</v>
      </c>
      <c r="D20" s="100" t="s">
        <v>219</v>
      </c>
      <c r="E20" s="59" t="s">
        <v>206</v>
      </c>
    </row>
    <row r="21" spans="1:233 16376:16384" ht="21.95" customHeight="1" x14ac:dyDescent="0.3">
      <c r="A21" s="59" t="s">
        <v>21</v>
      </c>
      <c r="B21" s="63" t="s">
        <v>177</v>
      </c>
      <c r="C21" s="62">
        <v>1500000</v>
      </c>
      <c r="D21" s="60" t="s">
        <v>220</v>
      </c>
      <c r="E21" s="59" t="s">
        <v>207</v>
      </c>
    </row>
    <row r="22" spans="1:233 16376:16384" s="24" customFormat="1" ht="21.95" customHeight="1" x14ac:dyDescent="0.3">
      <c r="A22" s="59" t="s">
        <v>27</v>
      </c>
      <c r="B22" s="63" t="s">
        <v>22</v>
      </c>
      <c r="C22" s="62">
        <v>880000</v>
      </c>
      <c r="D22" s="60" t="s">
        <v>221</v>
      </c>
      <c r="E22" s="59" t="s">
        <v>209</v>
      </c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XEV22"/>
      <c r="XEW22"/>
      <c r="XEX22"/>
      <c r="XEY22"/>
      <c r="XEZ22"/>
      <c r="XFA22"/>
      <c r="XFB22"/>
      <c r="XFC22"/>
      <c r="XFD22"/>
    </row>
    <row r="23" spans="1:233 16376:16384" s="24" customFormat="1" ht="21.95" hidden="1" customHeight="1" x14ac:dyDescent="0.3">
      <c r="A23" s="59" t="s">
        <v>143</v>
      </c>
      <c r="B23" s="63" t="s">
        <v>173</v>
      </c>
      <c r="C23" s="62"/>
      <c r="D23" s="60"/>
      <c r="E23" s="61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XEV23"/>
      <c r="XEW23"/>
      <c r="XEX23"/>
      <c r="XEY23"/>
      <c r="XEZ23"/>
      <c r="XFA23"/>
      <c r="XFB23"/>
      <c r="XFC23"/>
      <c r="XFD23"/>
    </row>
    <row r="24" spans="1:233 16376:16384" ht="21.95" customHeight="1" x14ac:dyDescent="0.3">
      <c r="A24" s="59" t="s">
        <v>155</v>
      </c>
      <c r="B24" s="63" t="s">
        <v>175</v>
      </c>
      <c r="C24" s="62">
        <v>2000000</v>
      </c>
      <c r="D24" s="60"/>
      <c r="E24" s="61"/>
    </row>
    <row r="25" spans="1:233 16376:16384" ht="21.95" customHeight="1" x14ac:dyDescent="0.3">
      <c r="A25" s="286" t="s">
        <v>79</v>
      </c>
      <c r="B25" s="286"/>
      <c r="C25" s="103">
        <f>SUM(C13:C24)</f>
        <v>18068000</v>
      </c>
      <c r="D25" s="60"/>
      <c r="E25" s="59"/>
    </row>
    <row r="26" spans="1:233 16376:16384" s="28" customFormat="1" ht="21.95" customHeight="1" x14ac:dyDescent="0.3">
      <c r="A26" s="285" t="s">
        <v>77</v>
      </c>
      <c r="B26" s="285"/>
      <c r="C26" s="104">
        <f>C8+C25</f>
        <v>62936100</v>
      </c>
      <c r="D26" s="58"/>
      <c r="E26" s="57"/>
    </row>
    <row r="27" spans="1:233 16376:16384" ht="11.25" customHeight="1" x14ac:dyDescent="0.3">
      <c r="A27" s="284"/>
      <c r="B27" s="284"/>
      <c r="C27" s="284"/>
    </row>
  </sheetData>
  <mergeCells count="7">
    <mergeCell ref="A1:E1"/>
    <mergeCell ref="E4:E5"/>
    <mergeCell ref="A27:C27"/>
    <mergeCell ref="A10:E10"/>
    <mergeCell ref="A26:B26"/>
    <mergeCell ref="A25:B25"/>
    <mergeCell ref="A8:B8"/>
  </mergeCells>
  <phoneticPr fontId="19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 r:id="rId1"/>
  <colBreaks count="1" manualBreakCount="1">
    <brk id="6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5"/>
  <sheetViews>
    <sheetView zoomScaleNormal="100" workbookViewId="0">
      <selection activeCell="B33" sqref="B33"/>
    </sheetView>
  </sheetViews>
  <sheetFormatPr defaultColWidth="9" defaultRowHeight="13.5" x14ac:dyDescent="0.3"/>
  <cols>
    <col min="1" max="1" width="6.25" style="24" customWidth="1"/>
    <col min="2" max="2" width="15.5" style="29" customWidth="1"/>
    <col min="3" max="3" width="17.75" style="30" customWidth="1"/>
    <col min="4" max="4" width="13.625" style="30" customWidth="1"/>
    <col min="5" max="5" width="10" style="29" customWidth="1"/>
    <col min="6" max="6" width="5.25" style="29" bestFit="1" customWidth="1"/>
    <col min="7" max="7" width="16.875" style="29" customWidth="1"/>
    <col min="8" max="8" width="27.25" style="29" customWidth="1"/>
    <col min="9" max="9" width="11.75" style="29" customWidth="1"/>
    <col min="10" max="256" width="10" style="29" customWidth="1"/>
    <col min="257" max="16384" width="9" style="24"/>
  </cols>
  <sheetData>
    <row r="1" spans="2:9" ht="29.25" customHeight="1" x14ac:dyDescent="0.3">
      <c r="B1" s="288" t="s">
        <v>261</v>
      </c>
      <c r="C1" s="288"/>
      <c r="D1" s="288"/>
      <c r="E1" s="288"/>
      <c r="F1" s="288"/>
      <c r="G1" s="288"/>
      <c r="H1" s="288"/>
      <c r="I1" s="288"/>
    </row>
    <row r="2" spans="2:9" ht="27.75" customHeight="1" x14ac:dyDescent="0.3">
      <c r="B2" s="55" t="s">
        <v>156</v>
      </c>
      <c r="C2" s="24"/>
      <c r="D2" s="52"/>
      <c r="E2" s="54"/>
      <c r="F2" s="53"/>
      <c r="G2" s="52"/>
      <c r="H2" s="51"/>
      <c r="I2" s="50" t="s">
        <v>123</v>
      </c>
    </row>
    <row r="3" spans="2:9" ht="27" customHeight="1" x14ac:dyDescent="0.3">
      <c r="B3" s="295" t="s">
        <v>68</v>
      </c>
      <c r="C3" s="295"/>
      <c r="D3" s="47" t="s">
        <v>57</v>
      </c>
      <c r="E3" s="49" t="s">
        <v>150</v>
      </c>
      <c r="F3" s="48" t="s">
        <v>161</v>
      </c>
      <c r="G3" s="47" t="s">
        <v>76</v>
      </c>
      <c r="H3" s="46" t="s">
        <v>166</v>
      </c>
      <c r="I3" s="46" t="s">
        <v>83</v>
      </c>
    </row>
    <row r="4" spans="2:9" ht="27" customHeight="1" x14ac:dyDescent="0.3">
      <c r="B4" s="296" t="s">
        <v>4</v>
      </c>
      <c r="C4" s="44" t="s">
        <v>169</v>
      </c>
      <c r="D4" s="108">
        <v>198023</v>
      </c>
      <c r="E4" s="43" t="s">
        <v>75</v>
      </c>
      <c r="F4" s="42">
        <v>30</v>
      </c>
      <c r="G4" s="105">
        <v>71288280</v>
      </c>
      <c r="H4" s="45" t="s">
        <v>222</v>
      </c>
      <c r="I4" s="293" t="s">
        <v>1</v>
      </c>
    </row>
    <row r="5" spans="2:9" ht="27" customHeight="1" x14ac:dyDescent="0.3">
      <c r="B5" s="297"/>
      <c r="C5" s="44" t="s">
        <v>48</v>
      </c>
      <c r="D5" s="108">
        <v>20130</v>
      </c>
      <c r="E5" s="43" t="s">
        <v>75</v>
      </c>
      <c r="F5" s="42">
        <v>30</v>
      </c>
      <c r="G5" s="105">
        <v>7246800</v>
      </c>
      <c r="H5" s="45" t="s">
        <v>223</v>
      </c>
      <c r="I5" s="294"/>
    </row>
    <row r="6" spans="2:9" ht="27" customHeight="1" x14ac:dyDescent="0.3">
      <c r="B6" s="297"/>
      <c r="C6" s="44" t="s">
        <v>157</v>
      </c>
      <c r="D6" s="108">
        <v>2240</v>
      </c>
      <c r="E6" s="43" t="s">
        <v>75</v>
      </c>
      <c r="F6" s="42">
        <v>30</v>
      </c>
      <c r="G6" s="105">
        <v>806400</v>
      </c>
      <c r="H6" s="45" t="s">
        <v>224</v>
      </c>
      <c r="I6" s="294"/>
    </row>
    <row r="7" spans="2:9" ht="27" customHeight="1" x14ac:dyDescent="0.3">
      <c r="B7" s="291" t="s">
        <v>53</v>
      </c>
      <c r="C7" s="291"/>
      <c r="D7" s="109">
        <f>SUM(D4:D6)</f>
        <v>220393</v>
      </c>
      <c r="E7" s="37" t="s">
        <v>75</v>
      </c>
      <c r="F7" s="36"/>
      <c r="G7" s="106">
        <f>SUM(G4:G6)</f>
        <v>79341480</v>
      </c>
      <c r="H7" s="72" t="s">
        <v>225</v>
      </c>
      <c r="I7" s="294"/>
    </row>
    <row r="8" spans="2:9" ht="25.5" customHeight="1" x14ac:dyDescent="0.3">
      <c r="B8" s="289" t="s">
        <v>165</v>
      </c>
      <c r="C8" s="289"/>
      <c r="D8" s="110">
        <v>30855</v>
      </c>
      <c r="E8" s="40" t="s">
        <v>80</v>
      </c>
      <c r="F8" s="39">
        <v>30</v>
      </c>
      <c r="G8" s="105">
        <v>925650</v>
      </c>
      <c r="H8" s="98" t="s">
        <v>226</v>
      </c>
      <c r="I8" s="41"/>
    </row>
    <row r="9" spans="2:9" ht="25.5" customHeight="1" x14ac:dyDescent="0.3">
      <c r="B9" s="290" t="s">
        <v>37</v>
      </c>
      <c r="C9" s="290"/>
      <c r="D9" s="110">
        <v>35400</v>
      </c>
      <c r="E9" s="40" t="s">
        <v>60</v>
      </c>
      <c r="F9" s="39">
        <v>30</v>
      </c>
      <c r="G9" s="105">
        <v>2124000</v>
      </c>
      <c r="H9" s="98" t="s">
        <v>227</v>
      </c>
      <c r="I9" s="34"/>
    </row>
    <row r="10" spans="2:9" ht="26.25" customHeight="1" x14ac:dyDescent="0.3">
      <c r="B10" s="291" t="s">
        <v>53</v>
      </c>
      <c r="C10" s="291"/>
      <c r="D10" s="38"/>
      <c r="E10" s="37"/>
      <c r="F10" s="36"/>
      <c r="G10" s="106">
        <f>SUM(G8:G9)</f>
        <v>3049650</v>
      </c>
      <c r="H10" s="35"/>
      <c r="I10" s="34"/>
    </row>
    <row r="11" spans="2:9" ht="26.25" customHeight="1" x14ac:dyDescent="0.15">
      <c r="B11" s="292" t="s">
        <v>152</v>
      </c>
      <c r="C11" s="292"/>
      <c r="D11" s="292"/>
      <c r="E11" s="292"/>
      <c r="F11" s="292"/>
      <c r="G11" s="107">
        <f>G7+G10</f>
        <v>82391130</v>
      </c>
      <c r="H11" s="33"/>
      <c r="I11" s="32"/>
    </row>
    <row r="12" spans="2:9" ht="30" customHeight="1" x14ac:dyDescent="0.3">
      <c r="B12" s="284" t="s">
        <v>196</v>
      </c>
      <c r="C12" s="284"/>
      <c r="D12" s="284"/>
      <c r="E12" s="284"/>
      <c r="F12" s="284"/>
      <c r="G12" s="284"/>
      <c r="H12" s="284"/>
      <c r="I12" s="284"/>
    </row>
    <row r="15" spans="2:9" x14ac:dyDescent="0.3">
      <c r="G15" s="31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19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운영비</vt:lpstr>
      <vt:lpstr>생계비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김문정</cp:lastModifiedBy>
  <cp:revision>153</cp:revision>
  <cp:lastPrinted>2019-02-26T07:49:17Z</cp:lastPrinted>
  <dcterms:created xsi:type="dcterms:W3CDTF">2013-12-12T01:03:00Z</dcterms:created>
  <dcterms:modified xsi:type="dcterms:W3CDTF">2019-03-06T12:16:29Z</dcterms:modified>
</cp:coreProperties>
</file>