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F7" i="2" l="1"/>
  <c r="F8" i="2"/>
  <c r="F9" i="2"/>
  <c r="F10" i="2"/>
  <c r="F17" i="2"/>
  <c r="F19" i="2"/>
  <c r="F21" i="2"/>
  <c r="F29" i="2"/>
  <c r="F30" i="2"/>
  <c r="F31" i="2"/>
  <c r="F33" i="2"/>
  <c r="F35" i="2"/>
  <c r="F38" i="2"/>
  <c r="F41" i="2"/>
  <c r="F42" i="2"/>
  <c r="F51" i="2"/>
  <c r="F54" i="2"/>
  <c r="F58" i="2"/>
  <c r="F59" i="2"/>
  <c r="F60" i="2"/>
  <c r="F7" i="1"/>
  <c r="F8" i="1"/>
  <c r="F9" i="1"/>
  <c r="F10" i="1"/>
  <c r="F11" i="1"/>
  <c r="F12" i="1"/>
  <c r="F13" i="1"/>
  <c r="F16" i="1"/>
  <c r="F17" i="1"/>
  <c r="F18" i="1"/>
  <c r="F19" i="1"/>
  <c r="F20" i="1"/>
  <c r="F21" i="1"/>
  <c r="F22" i="1"/>
  <c r="F23" i="1"/>
  <c r="F24" i="1"/>
  <c r="F25" i="1"/>
  <c r="F27" i="1"/>
  <c r="D59" i="2"/>
  <c r="D58" i="2" s="1"/>
  <c r="D56" i="2"/>
  <c r="D55" i="2" s="1"/>
  <c r="D45" i="2"/>
  <c r="D36" i="2"/>
  <c r="D30" i="2"/>
  <c r="D25" i="2"/>
  <c r="D24" i="2"/>
  <c r="D17" i="2"/>
  <c r="D7" i="2" s="1"/>
  <c r="D14" i="2"/>
  <c r="D8" i="2"/>
  <c r="E8" i="2"/>
  <c r="G11" i="2"/>
  <c r="G12" i="2"/>
  <c r="E14" i="2"/>
  <c r="E7" i="2" s="1"/>
  <c r="E17" i="2"/>
  <c r="E24" i="2"/>
  <c r="E25" i="2"/>
  <c r="E30" i="2"/>
  <c r="E36" i="2"/>
  <c r="G37" i="2"/>
  <c r="G45" i="2"/>
  <c r="E45" i="2"/>
  <c r="G46" i="2"/>
  <c r="G48" i="2"/>
  <c r="G52" i="2"/>
  <c r="E56" i="2"/>
  <c r="E55" i="2" s="1"/>
  <c r="E59" i="2"/>
  <c r="E58" i="2" s="1"/>
  <c r="D29" i="2" l="1"/>
  <c r="D6" i="2" s="1"/>
  <c r="E29" i="2"/>
  <c r="E6" i="2" s="1"/>
  <c r="F6" i="2" s="1"/>
  <c r="D25" i="1" l="1"/>
  <c r="D24" i="1"/>
  <c r="D22" i="1"/>
  <c r="D21" i="1"/>
  <c r="D6" i="1" s="1"/>
  <c r="D18" i="1"/>
  <c r="D17" i="1"/>
  <c r="D13" i="1"/>
  <c r="D12" i="1"/>
  <c r="D8" i="1"/>
  <c r="D7" i="1"/>
  <c r="Q9" i="4" l="1"/>
  <c r="Q10" i="4"/>
  <c r="Q11" i="4"/>
  <c r="Q12" i="4"/>
  <c r="Q13" i="4"/>
  <c r="Q14" i="4"/>
  <c r="Q15" i="4"/>
  <c r="Q16" i="4"/>
  <c r="Q17" i="4"/>
  <c r="Q18" i="4"/>
  <c r="Q8" i="4"/>
  <c r="P8" i="4"/>
  <c r="O8" i="4"/>
  <c r="O9" i="4"/>
  <c r="O10" i="4"/>
  <c r="O11" i="4"/>
  <c r="O12" i="4"/>
  <c r="O13" i="4"/>
  <c r="O14" i="4"/>
  <c r="O15" i="4"/>
  <c r="O16" i="4"/>
  <c r="O17" i="4"/>
  <c r="O18" i="4"/>
  <c r="O7" i="4"/>
  <c r="N8" i="4"/>
  <c r="N9" i="4"/>
  <c r="N10" i="4"/>
  <c r="N11" i="4"/>
  <c r="N12" i="4"/>
  <c r="N13" i="4"/>
  <c r="N14" i="4"/>
  <c r="N15" i="4"/>
  <c r="N16" i="4"/>
  <c r="N17" i="4"/>
  <c r="N18" i="4"/>
  <c r="N7" i="4"/>
  <c r="M8" i="4"/>
  <c r="M9" i="4"/>
  <c r="M10" i="4"/>
  <c r="M11" i="4"/>
  <c r="M12" i="4"/>
  <c r="M13" i="4"/>
  <c r="M14" i="4"/>
  <c r="M15" i="4"/>
  <c r="M16" i="4"/>
  <c r="M17" i="4"/>
  <c r="M18" i="4"/>
  <c r="M7" i="4"/>
  <c r="K5" i="3"/>
  <c r="E8" i="1" l="1"/>
  <c r="E7" i="1" s="1"/>
  <c r="E6" i="1" s="1"/>
  <c r="F6" i="1" s="1"/>
  <c r="E21" i="1"/>
  <c r="E22" i="1"/>
  <c r="E18" i="1"/>
  <c r="E17" i="1" s="1"/>
  <c r="E24" i="1"/>
  <c r="E25" i="1"/>
  <c r="E12" i="1"/>
  <c r="E13" i="1"/>
  <c r="H13" i="5"/>
  <c r="H12" i="5"/>
  <c r="H5" i="5"/>
  <c r="J14" i="4"/>
  <c r="J15" i="4"/>
  <c r="J7" i="4"/>
  <c r="R8" i="4" l="1"/>
  <c r="R9" i="4"/>
  <c r="R10" i="4"/>
  <c r="R11" i="4"/>
  <c r="R12" i="4"/>
  <c r="R13" i="4"/>
  <c r="R17" i="4"/>
  <c r="R18" i="4"/>
  <c r="L6" i="5"/>
  <c r="L7" i="5"/>
  <c r="L8" i="5"/>
  <c r="L9" i="5"/>
  <c r="L10" i="5"/>
  <c r="L11" i="5"/>
  <c r="L15" i="5"/>
  <c r="L16" i="5"/>
  <c r="J16" i="3" l="1"/>
  <c r="J14" i="3"/>
  <c r="J13" i="3"/>
  <c r="J11" i="3"/>
  <c r="J6" i="3"/>
  <c r="G16" i="3"/>
  <c r="G15" i="5" l="1"/>
  <c r="H15" i="5"/>
  <c r="E6" i="5"/>
  <c r="E7" i="5"/>
  <c r="E8" i="5"/>
  <c r="E9" i="5"/>
  <c r="E10" i="5"/>
  <c r="E11" i="5"/>
  <c r="E12" i="5"/>
  <c r="E13" i="5"/>
  <c r="E14" i="5"/>
  <c r="E15" i="5"/>
  <c r="E16" i="5"/>
  <c r="E5" i="5"/>
  <c r="J17" i="4"/>
  <c r="E18" i="4"/>
  <c r="E17" i="4"/>
  <c r="G17" i="4" s="1"/>
  <c r="E16" i="4"/>
  <c r="E15" i="4"/>
  <c r="E14" i="4"/>
  <c r="E13" i="4"/>
  <c r="E12" i="4"/>
  <c r="E11" i="4"/>
  <c r="E10" i="4"/>
  <c r="E9" i="4"/>
  <c r="E8" i="4"/>
  <c r="E7" i="4"/>
  <c r="F17" i="3"/>
  <c r="F16" i="3"/>
  <c r="I16" i="3" s="1"/>
  <c r="I15" i="5" s="1"/>
  <c r="F15" i="3"/>
  <c r="F14" i="3"/>
  <c r="F13" i="3"/>
  <c r="F12" i="3"/>
  <c r="F11" i="3"/>
  <c r="F10" i="3"/>
  <c r="F9" i="3"/>
  <c r="F8" i="3"/>
  <c r="F7" i="3"/>
  <c r="F6" i="3"/>
  <c r="I17" i="4" l="1"/>
  <c r="F5" i="3"/>
  <c r="G11" i="1" l="1"/>
  <c r="J17" i="3" l="1"/>
  <c r="J10" i="3"/>
  <c r="J8" i="3"/>
  <c r="J7" i="3"/>
  <c r="I8" i="3"/>
  <c r="G17" i="3"/>
  <c r="G15" i="3"/>
  <c r="G14" i="3"/>
  <c r="G13" i="3"/>
  <c r="G12" i="3"/>
  <c r="G11" i="3"/>
  <c r="G10" i="3"/>
  <c r="G9" i="3"/>
  <c r="G8" i="3"/>
  <c r="G7" i="3"/>
  <c r="G6" i="3"/>
  <c r="G7" i="5"/>
  <c r="J18" i="4"/>
  <c r="J11" i="4"/>
  <c r="J9" i="4"/>
  <c r="J8" i="4"/>
  <c r="F18" i="4"/>
  <c r="F17" i="4"/>
  <c r="F16" i="4"/>
  <c r="F15" i="4"/>
  <c r="F14" i="4"/>
  <c r="F13" i="4"/>
  <c r="F12" i="4"/>
  <c r="F11" i="4"/>
  <c r="F10" i="4"/>
  <c r="F9" i="4"/>
  <c r="F8" i="4"/>
  <c r="F7" i="4"/>
  <c r="F15" i="5"/>
  <c r="H16" i="5"/>
  <c r="H7" i="5"/>
  <c r="H6" i="5"/>
  <c r="F7" i="5"/>
  <c r="I7" i="5" s="1"/>
  <c r="K8" i="3" l="1"/>
  <c r="F6" i="4"/>
  <c r="J15" i="5"/>
  <c r="K15" i="5" s="1"/>
  <c r="J7" i="5"/>
  <c r="K7" i="5" s="1"/>
  <c r="M15" i="5" l="1"/>
  <c r="M7" i="5"/>
  <c r="H9" i="5" l="1"/>
  <c r="G10" i="7" l="1"/>
  <c r="D7" i="7"/>
  <c r="G7" i="7"/>
  <c r="C25" i="6"/>
  <c r="C8" i="6"/>
  <c r="G16" i="5"/>
  <c r="F16" i="5"/>
  <c r="G14" i="5"/>
  <c r="F14" i="5"/>
  <c r="I14" i="5" s="1"/>
  <c r="G13" i="5"/>
  <c r="F13" i="5"/>
  <c r="I13" i="5" s="1"/>
  <c r="G12" i="5"/>
  <c r="F12" i="5"/>
  <c r="I12" i="5" s="1"/>
  <c r="G11" i="5"/>
  <c r="F11" i="5"/>
  <c r="I11" i="5" s="1"/>
  <c r="J11" i="5" s="1"/>
  <c r="G10" i="5"/>
  <c r="F10" i="5"/>
  <c r="I10" i="5" s="1"/>
  <c r="G9" i="5"/>
  <c r="F9" i="5"/>
  <c r="I9" i="5" s="1"/>
  <c r="G8" i="5"/>
  <c r="F8" i="5"/>
  <c r="I8" i="5" s="1"/>
  <c r="G6" i="5"/>
  <c r="F6" i="5"/>
  <c r="I6" i="5" s="1"/>
  <c r="H4" i="5"/>
  <c r="G5" i="5"/>
  <c r="J5" i="5" s="1"/>
  <c r="F5" i="5"/>
  <c r="E4" i="5"/>
  <c r="G18" i="4"/>
  <c r="G16" i="4"/>
  <c r="I16" i="4"/>
  <c r="G15" i="4"/>
  <c r="I15" i="4"/>
  <c r="G14" i="4"/>
  <c r="G13" i="4"/>
  <c r="I13" i="4"/>
  <c r="G12" i="4"/>
  <c r="G11" i="4"/>
  <c r="I11" i="4"/>
  <c r="G10" i="4"/>
  <c r="I10" i="4"/>
  <c r="G9" i="4"/>
  <c r="G8" i="4"/>
  <c r="G7" i="4"/>
  <c r="J6" i="4"/>
  <c r="H6" i="4"/>
  <c r="E6" i="4"/>
  <c r="L17" i="3"/>
  <c r="P17" i="3" s="1"/>
  <c r="L16" i="3"/>
  <c r="P16" i="3" s="1"/>
  <c r="L15" i="3"/>
  <c r="P15" i="3" s="1"/>
  <c r="I15" i="3"/>
  <c r="L14" i="3"/>
  <c r="P14" i="3" s="1"/>
  <c r="I14" i="3"/>
  <c r="L13" i="3"/>
  <c r="P13" i="3" s="1"/>
  <c r="L12" i="3"/>
  <c r="Q12" i="3" s="1"/>
  <c r="I12" i="3"/>
  <c r="L11" i="3"/>
  <c r="P11" i="3" s="1"/>
  <c r="L10" i="3"/>
  <c r="P10" i="3" s="1"/>
  <c r="L9" i="3"/>
  <c r="Q9" i="3" s="1"/>
  <c r="L7" i="3"/>
  <c r="Q7" i="3" s="1"/>
  <c r="L6" i="3"/>
  <c r="P6" i="3" s="1"/>
  <c r="P5" i="3" s="1"/>
  <c r="J5" i="3"/>
  <c r="H5" i="3"/>
  <c r="E5" i="3"/>
  <c r="F4" i="5" l="1"/>
  <c r="M10" i="3"/>
  <c r="N10" i="3" s="1"/>
  <c r="Q10" i="3"/>
  <c r="M6" i="3"/>
  <c r="S6" i="3" s="1"/>
  <c r="T6" i="3" s="1"/>
  <c r="T5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S10" i="3"/>
  <c r="U10" i="3" s="1"/>
  <c r="Q14" i="3"/>
  <c r="M15" i="3"/>
  <c r="Q17" i="3"/>
  <c r="K5" i="5"/>
  <c r="L5" i="5" s="1"/>
  <c r="J8" i="5"/>
  <c r="K8" i="5" s="1"/>
  <c r="J9" i="5"/>
  <c r="G6" i="4"/>
  <c r="J12" i="5"/>
  <c r="K12" i="5" s="1"/>
  <c r="L12" i="5" s="1"/>
  <c r="J14" i="5"/>
  <c r="K14" i="5" s="1"/>
  <c r="L14" i="5" s="1"/>
  <c r="I16" i="5"/>
  <c r="J16" i="5" s="1"/>
  <c r="K16" i="5" s="1"/>
  <c r="K7" i="4"/>
  <c r="R7" i="4" s="1"/>
  <c r="K13" i="4"/>
  <c r="K10" i="4"/>
  <c r="K11" i="4"/>
  <c r="K17" i="4"/>
  <c r="I18" i="4"/>
  <c r="K18" i="4" s="1"/>
  <c r="I12" i="4"/>
  <c r="K12" i="4" s="1"/>
  <c r="I17" i="3"/>
  <c r="K17" i="3" s="1"/>
  <c r="R17" i="3" s="1"/>
  <c r="K15" i="3"/>
  <c r="R15" i="3" s="1"/>
  <c r="K14" i="3"/>
  <c r="R14" i="3" s="1"/>
  <c r="K12" i="3"/>
  <c r="R12" i="3" s="1"/>
  <c r="I9" i="3"/>
  <c r="K9" i="3" s="1"/>
  <c r="R9" i="3" s="1"/>
  <c r="I7" i="3"/>
  <c r="K7" i="3" s="1"/>
  <c r="R7" i="3" s="1"/>
  <c r="G5" i="3"/>
  <c r="K6" i="3"/>
  <c r="C26" i="6"/>
  <c r="G11" i="7"/>
  <c r="T17" i="3"/>
  <c r="N6" i="3"/>
  <c r="N5" i="3" s="1"/>
  <c r="O7" i="3"/>
  <c r="O9" i="3"/>
  <c r="I11" i="3"/>
  <c r="K11" i="3" s="1"/>
  <c r="R11" i="3" s="1"/>
  <c r="M11" i="3"/>
  <c r="Q11" i="3"/>
  <c r="O12" i="3"/>
  <c r="M13" i="3"/>
  <c r="Q13" i="3"/>
  <c r="N14" i="3"/>
  <c r="K16" i="3"/>
  <c r="R16" i="3" s="1"/>
  <c r="M16" i="3"/>
  <c r="Q16" i="3"/>
  <c r="N17" i="3"/>
  <c r="L11" i="4"/>
  <c r="P11" i="4" s="1"/>
  <c r="M5" i="3"/>
  <c r="P7" i="3"/>
  <c r="P9" i="3"/>
  <c r="I10" i="3"/>
  <c r="K10" i="3" s="1"/>
  <c r="R10" i="3" s="1"/>
  <c r="P12" i="3"/>
  <c r="I13" i="3"/>
  <c r="K13" i="3" s="1"/>
  <c r="R13" i="3" s="1"/>
  <c r="M7" i="3"/>
  <c r="M9" i="3"/>
  <c r="O11" i="3"/>
  <c r="M12" i="3"/>
  <c r="O13" i="3"/>
  <c r="O16" i="3"/>
  <c r="K11" i="5"/>
  <c r="I8" i="4"/>
  <c r="K8" i="4" s="1"/>
  <c r="I9" i="4"/>
  <c r="K9" i="4" s="1"/>
  <c r="I14" i="4"/>
  <c r="K14" i="4" s="1"/>
  <c r="R14" i="4" s="1"/>
  <c r="G4" i="5"/>
  <c r="J6" i="5"/>
  <c r="K6" i="5" s="1"/>
  <c r="J10" i="5"/>
  <c r="K10" i="5" s="1"/>
  <c r="K15" i="4"/>
  <c r="R15" i="4" s="1"/>
  <c r="K16" i="4"/>
  <c r="R16" i="4" s="1"/>
  <c r="K9" i="5"/>
  <c r="J13" i="5"/>
  <c r="K13" i="5" s="1"/>
  <c r="L13" i="5" s="1"/>
  <c r="T14" i="3" l="1"/>
  <c r="K4" i="5"/>
  <c r="R6" i="3"/>
  <c r="R5" i="3" s="1"/>
  <c r="K6" i="4"/>
  <c r="L10" i="4"/>
  <c r="P10" i="4" s="1"/>
  <c r="S5" i="3"/>
  <c r="U6" i="3"/>
  <c r="U5" i="3" s="1"/>
  <c r="T10" i="3"/>
  <c r="N15" i="3"/>
  <c r="S15" i="3"/>
  <c r="L13" i="4"/>
  <c r="P13" i="4" s="1"/>
  <c r="I4" i="5"/>
  <c r="M14" i="5"/>
  <c r="M5" i="5"/>
  <c r="L7" i="4"/>
  <c r="M16" i="5"/>
  <c r="L18" i="4"/>
  <c r="P18" i="4" s="1"/>
  <c r="L12" i="4"/>
  <c r="P12" i="4" s="1"/>
  <c r="L17" i="4"/>
  <c r="P17" i="4" s="1"/>
  <c r="I5" i="3"/>
  <c r="L8" i="4"/>
  <c r="L9" i="4"/>
  <c r="P9" i="4" s="1"/>
  <c r="M13" i="5"/>
  <c r="M10" i="5"/>
  <c r="M6" i="5"/>
  <c r="J4" i="5"/>
  <c r="L15" i="4"/>
  <c r="P15" i="4" s="1"/>
  <c r="L14" i="4"/>
  <c r="P14" i="4" s="1"/>
  <c r="I6" i="4"/>
  <c r="N12" i="3"/>
  <c r="S12" i="3"/>
  <c r="N7" i="3"/>
  <c r="S7" i="3"/>
  <c r="S16" i="3"/>
  <c r="N16" i="3"/>
  <c r="S11" i="3"/>
  <c r="N11" i="3"/>
  <c r="M9" i="5"/>
  <c r="M8" i="5"/>
  <c r="S13" i="3"/>
  <c r="N13" i="3"/>
  <c r="L16" i="4"/>
  <c r="P16" i="4" s="1"/>
  <c r="M12" i="5"/>
  <c r="M11" i="5"/>
  <c r="N9" i="3"/>
  <c r="S9" i="3"/>
  <c r="L6" i="4" l="1"/>
  <c r="U15" i="3"/>
  <c r="T15" i="3"/>
  <c r="U9" i="3"/>
  <c r="T9" i="3"/>
  <c r="T16" i="3"/>
  <c r="U16" i="3"/>
  <c r="L4" i="5"/>
  <c r="U12" i="3"/>
  <c r="T12" i="3"/>
  <c r="T11" i="3"/>
  <c r="U11" i="3"/>
  <c r="R6" i="4"/>
  <c r="T13" i="3"/>
  <c r="U13" i="3"/>
  <c r="S11" i="4"/>
  <c r="U7" i="3"/>
  <c r="T7" i="3"/>
  <c r="S10" i="4" l="1"/>
  <c r="S13" i="4"/>
  <c r="S18" i="4"/>
  <c r="O6" i="4"/>
  <c r="S12" i="4"/>
  <c r="Q6" i="4"/>
  <c r="S17" i="4"/>
  <c r="P6" i="4"/>
  <c r="M6" i="4"/>
  <c r="S15" i="4"/>
  <c r="S14" i="4"/>
  <c r="M4" i="5"/>
  <c r="S8" i="4"/>
  <c r="S16" i="4"/>
  <c r="S9" i="4"/>
  <c r="S7" i="4" l="1"/>
  <c r="S6" i="4" s="1"/>
  <c r="N6" i="4"/>
</calcChain>
</file>

<file path=xl/sharedStrings.xml><?xml version="1.0" encoding="utf-8"?>
<sst xmlns="http://schemas.openxmlformats.org/spreadsheetml/2006/main" count="400" uniqueCount="300">
  <si>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</si>
  <si>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</si>
  <si>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</si>
  <si>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</si>
  <si>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</si>
  <si>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</si>
  <si>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</si>
  <si>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</si>
  <si>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</si>
  <si>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</si>
  <si>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</si>
  <si>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</si>
  <si>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</si>
  <si>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</si>
  <si>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</si>
  <si>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</si>
  <si>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</si>
  <si>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</si>
  <si>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</si>
  <si>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</si>
  <si>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</si>
  <si>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</si>
  <si>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</si>
  <si>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</si>
  <si>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</si>
  <si>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</si>
  <si>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</si>
  <si>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</si>
  <si>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85,000/년1인당</t>
  </si>
  <si>
    <t>24,000/월1인당</t>
  </si>
  <si>
    <t>24,000/년1인당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</si>
  <si>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</si>
  <si>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</si>
  <si>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</si>
  <si>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</si>
  <si>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</si>
  <si>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</si>
  <si>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</si>
  <si>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</si>
  <si>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</si>
  <si>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</si>
  <si>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</si>
  <si>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</si>
  <si>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</si>
  <si>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</si>
  <si>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</si>
  <si>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</si>
  <si>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</si>
  <si>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</si>
  <si>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</si>
  <si>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</si>
  <si>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</si>
  <si>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</si>
  <si>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</si>
  <si>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</si>
  <si>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</si>
  <si>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</si>
  <si>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</si>
  <si>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</si>
  <si>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</si>
  <si>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</si>
  <si>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</si>
  <si>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</si>
  <si>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</si>
  <si>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</si>
  <si>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</si>
  <si>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</si>
  <si>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</si>
  <si>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</si>
  <si>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</si>
  <si>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</si>
  <si>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</si>
  <si>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</si>
  <si>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</si>
  <si>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</si>
  <si>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</si>
  <si>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</si>
  <si>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</si>
  <si>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</si>
  <si>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</si>
  <si>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</si>
  <si>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</si>
  <si>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</si>
  <si>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</si>
  <si>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</si>
  <si>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</si>
  <si>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</si>
  <si>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 xml:space="preserve">예 산 액 </t>
  </si>
  <si>
    <t>과     목</t>
  </si>
  <si>
    <t>(단위:천원)</t>
  </si>
  <si>
    <t>합    계</t>
  </si>
  <si>
    <t>전년도이월금</t>
  </si>
  <si>
    <t>예 산 액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</si>
  <si>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</si>
  <si>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</si>
  <si>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</si>
  <si>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</si>
  <si>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</si>
  <si>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</si>
  <si>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</si>
  <si>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</si>
  <si>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</si>
  <si>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</si>
  <si>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</si>
  <si>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</si>
  <si>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</si>
  <si>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</si>
  <si>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</si>
  <si>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</si>
  <si>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세 입 부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</si>
  <si>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</si>
  <si>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</si>
  <si>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</si>
  <si>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</si>
  <si>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</si>
  <si>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</si>
  <si>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</si>
  <si>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</si>
  <si>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</si>
  <si>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</si>
  <si>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</si>
  <si>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</si>
  <si>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</si>
  <si>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</si>
  <si>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</si>
  <si>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</si>
  <si>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</si>
  <si>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</si>
  <si>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</si>
  <si>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</si>
  <si>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</si>
  <si>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</si>
  <si>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</si>
  <si>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</si>
  <si>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</si>
  <si>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</si>
  <si>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</si>
  <si>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</si>
  <si>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</si>
  <si>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</si>
  <si>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</si>
  <si>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</si>
  <si>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</si>
  <si>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</si>
  <si>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</si>
  <si>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</si>
  <si>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</si>
  <si>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</si>
  <si>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</si>
  <si>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</si>
  <si>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</si>
  <si>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</si>
  <si>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</si>
  <si>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</si>
  <si>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</si>
  <si>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</si>
  <si>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</si>
  <si>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</si>
  <si>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</si>
  <si>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</si>
  <si>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</si>
  <si>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</si>
  <si>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</si>
  <si>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</si>
  <si>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</si>
  <si>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</si>
  <si>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</si>
  <si>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</si>
  <si>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</si>
  <si>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</si>
  <si>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</si>
  <si>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</si>
  <si>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</si>
  <si>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</si>
  <si>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</si>
  <si>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</si>
  <si>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18,000/월1인당</t>
    <phoneticPr fontId="18" type="noConversion"/>
  </si>
  <si>
    <t>전년도 준함</t>
    <phoneticPr fontId="18" type="noConversion"/>
  </si>
  <si>
    <t>한재범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</si>
  <si>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</si>
  <si>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</si>
  <si>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</si>
  <si>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</si>
  <si>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</si>
  <si>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</si>
  <si>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</si>
  <si>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연찬회 : 137,930*3인=413,790
사생대회 : 21,317.5*10인=213,715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</si>
  <si>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</si>
  <si>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</si>
  <si>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</si>
  <si>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36,000/월1인당</t>
    <phoneticPr fontId="18" type="noConversion"/>
  </si>
  <si>
    <t>4명</t>
    <phoneticPr fontId="18" type="noConversion"/>
  </si>
  <si>
    <t>15명</t>
    <phoneticPr fontId="18" type="noConversion"/>
  </si>
  <si>
    <t>11명</t>
    <phoneticPr fontId="18" type="noConversion"/>
  </si>
  <si>
    <t>30명</t>
    <phoneticPr fontId="18" type="noConversion"/>
  </si>
  <si>
    <t>8명</t>
    <phoneticPr fontId="18" type="noConversion"/>
  </si>
  <si>
    <t>9명</t>
    <phoneticPr fontId="18" type="noConversion"/>
  </si>
  <si>
    <t>학습보조비(고등)</t>
    <phoneticPr fontId="18" type="noConversion"/>
  </si>
  <si>
    <t>120,000/년1인당</t>
    <phoneticPr fontId="18" type="noConversion"/>
  </si>
  <si>
    <t>220,393*30명*12개월=166,617,108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</si>
  <si>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</si>
  <si>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</si>
  <si>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</si>
  <si>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</si>
  <si>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</si>
  <si>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</si>
  <si>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</si>
  <si>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이명숙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</si>
  <si>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</si>
  <si>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</si>
  <si>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</si>
  <si>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</si>
  <si>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후원금 각종비품구입
300,000*12월=3,600,000원</t>
    <phoneticPr fontId="18" type="noConversion"/>
  </si>
  <si>
    <t>중학생부교재비 중15명*41,200*년1회=618,000
초등부교재비 15명*41,200*년1회=    618,000
학습보조비  중15명*100,000*년1회=1,500,000
           초15명*80,000*년1회= 1,200,000
기타도서구입비   100,000*4분기=   400,000
계                              4,336,000</t>
    <phoneticPr fontId="18" type="noConversion"/>
  </si>
  <si>
    <t>교복비 300,000*15명*2회= 6,600,000</t>
    <phoneticPr fontId="18" type="noConversion"/>
  </si>
  <si>
    <t>건물유지비용  1,000,000*12월=12,000,000
전기안전관리비 88,000*12월=1,056,000                   소방안전관리비 143,000*12월=1,716,000
승강기안전관리비 99,000*12월=1,188,000  
장비유지비용 500,000*12월= 6,000,000
기타                      10,000,000
계                        31,960,000</t>
    <phoneticPr fontId="18" type="noConversion"/>
  </si>
  <si>
    <t>기관홍보용 달력제작 3,300*200부=660,000
기관홍보용 선물제작 5,000*150개=600,000
기타 운영경비                  400,000
계                          1,660,000</t>
    <phoneticPr fontId="18" type="noConversion"/>
  </si>
  <si>
    <t>문화체험비 30명*14,000*12월=5,040,000</t>
    <phoneticPr fontId="18" type="noConversion"/>
  </si>
  <si>
    <t>차량유류대     500,000*12월= 6,000,000
차량정비유지비 200,000*12월= 2,400,000
차량소모품비   200,000*12월= 2,400,000
계                          10,800,000</t>
    <phoneticPr fontId="18" type="noConversion"/>
  </si>
  <si>
    <t>명절선물구입 12명*10,000*2회=   240,000
직원워크샵   12명*15,000*1회=   180,000
공로패제작    2명*66,000    =   132,000
포상선물비    2명*50,000    =   100,000
퇴직연금수수료(전입금)         1,200,000
계                           1,852,000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</si>
  <si>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</si>
  <si>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</si>
  <si>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>전화요금         150,000*12월=  1,800,000
전기요금       1,000,000*12월= 12,000,000
상하수도요금   1,000,000*12월= 12,000,000
인터넷및키폰요금 150,000*12월=  1,800,000
TV사용료        150,000*12월=  1,800,000
우편요금         30,000*12월=    360,000
쓰레기봉투구입   100,000*12월= 1,200,000
납부필증         100,000*12월= 1,200,000
계                         32,160,000</t>
    <phoneticPr fontId="18" type="noConversion"/>
  </si>
  <si>
    <t xml:space="preserve">직원교육비  84,000*12명=1,000,000
직원출장비 100,000*12월=1,200,000
시설장 세미나비           500,000
사무국장 세미나비         400,000
계                     3,100,000 </t>
    <phoneticPr fontId="18" type="noConversion"/>
  </si>
  <si>
    <t>시설비     10,000,000(건물유지보수)
시설환경개선비 3,858,000</t>
    <phoneticPr fontId="18" type="noConversion"/>
  </si>
  <si>
    <t>후원금이자</t>
    <phoneticPr fontId="18" type="noConversion"/>
  </si>
  <si>
    <t>아동이미용비      월100,000*12월=1,200,000
아동목욕비      16명*7,000*12월= 1,344,000
계                              2,544,000</t>
    <phoneticPr fontId="18" type="noConversion"/>
  </si>
  <si>
    <t>* 2019년도 기초생활보장 지침 중 시설생계급여 등 지원기준</t>
    <phoneticPr fontId="18" type="noConversion"/>
  </si>
  <si>
    <t xml:space="preserve">2020년도 성애원(시설) 세입 세출예산(안) </t>
    <phoneticPr fontId="18" type="noConversion"/>
  </si>
  <si>
    <t>당해연도</t>
    <phoneticPr fontId="18" type="noConversion"/>
  </si>
  <si>
    <t>전년도</t>
    <phoneticPr fontId="18" type="noConversion"/>
  </si>
  <si>
    <t>2020년 종사자 인건비 산출내역</t>
    <phoneticPr fontId="18" type="noConversion"/>
  </si>
  <si>
    <t>2020년 종사자 사회보험 산출내역</t>
    <phoneticPr fontId="18" type="noConversion"/>
  </si>
  <si>
    <t>2020년 임직원 보수일람표</t>
    <phoneticPr fontId="18" type="noConversion"/>
  </si>
  <si>
    <t>2020년 성애원(시설) 경상보조금 관리운영비 산출내역(국시비)</t>
    <phoneticPr fontId="18" type="noConversion"/>
  </si>
  <si>
    <t xml:space="preserve">2020년 성애원(시설) 경상보조금 생계비(국시비) 산출내역 </t>
    <phoneticPr fontId="18" type="noConversion"/>
  </si>
  <si>
    <t>이지환</t>
    <phoneticPr fontId="18" type="noConversion"/>
  </si>
  <si>
    <t>127,790/월</t>
    <phoneticPr fontId="18" type="noConversion"/>
  </si>
  <si>
    <t>35명*127,790원*12월=53,671,800원</t>
    <phoneticPr fontId="18" type="noConversion"/>
  </si>
  <si>
    <t>35명기준</t>
    <phoneticPr fontId="18" type="noConversion"/>
  </si>
  <si>
    <t>35명*14,270원*년1회=499450dnjs</t>
    <phoneticPr fontId="18" type="noConversion"/>
  </si>
  <si>
    <t>11명</t>
    <phoneticPr fontId="18" type="noConversion"/>
  </si>
  <si>
    <t>초등학생 5명*18,000원*12월=1,080,000원</t>
    <phoneticPr fontId="18" type="noConversion"/>
  </si>
  <si>
    <t>중학생19명*24,000원*12월=5,472,000원</t>
    <phoneticPr fontId="18" type="noConversion"/>
  </si>
  <si>
    <t>19명</t>
    <phoneticPr fontId="18" type="noConversion"/>
  </si>
  <si>
    <t>5명</t>
    <phoneticPr fontId="18" type="noConversion"/>
  </si>
  <si>
    <t>고등학생11명*36,000원*12월=4,752,000원</t>
    <phoneticPr fontId="18" type="noConversion"/>
  </si>
  <si>
    <t>30명*1,600원*240일=11,520,000원</t>
    <phoneticPr fontId="18" type="noConversion"/>
  </si>
  <si>
    <t>3세이상 35명*24,000원*년1회=840,000원</t>
    <phoneticPr fontId="18" type="noConversion"/>
  </si>
  <si>
    <t>중2학년   4명*120,000원=480,000원
고2학년   4명*120,000원=480,000원</t>
    <phoneticPr fontId="18" type="noConversion"/>
  </si>
  <si>
    <t>고등학생11명*120,000원*년1회=1,320,000원</t>
    <phoneticPr fontId="18" type="noConversion"/>
  </si>
  <si>
    <t>중학생 19명*100,000원*년1회=1,900,000원</t>
    <phoneticPr fontId="18" type="noConversion"/>
  </si>
  <si>
    <t>초등학생 5명*80,000원*년1회=400,000원</t>
    <phoneticPr fontId="18" type="noConversion"/>
  </si>
  <si>
    <t>주부식비
1식
2,600원
2,177*91식
월 1인당
241,800원</t>
    <phoneticPr fontId="18" type="noConversion"/>
  </si>
  <si>
    <t>241,800*35명*12개월=101,556,000원</t>
    <phoneticPr fontId="18" type="noConversion"/>
  </si>
  <si>
    <t>11,902*35명*12개월=4,998,840원</t>
    <phoneticPr fontId="18" type="noConversion"/>
  </si>
  <si>
    <t>2,240*35명*12개월=940,800원</t>
    <phoneticPr fontId="18" type="noConversion"/>
  </si>
  <si>
    <t>36,300원*35명*2회=2,541,000원</t>
    <phoneticPr fontId="18" type="noConversion"/>
  </si>
  <si>
    <t>35,394원*35명*1회=1,238,790원</t>
    <phoneticPr fontId="18" type="noConversion"/>
  </si>
  <si>
    <t>이지환</t>
    <phoneticPr fontId="18" type="noConversion"/>
  </si>
  <si>
    <t>종사자급식비</t>
    <phoneticPr fontId="18" type="noConversion"/>
  </si>
  <si>
    <t>종사자급식비(생활지도원)8명*100,000*12월 
                               =9,600,000
종사자급식비(사무실)4명*60,000원=2,880,000
계                             12,480,000</t>
    <phoneticPr fontId="18" type="noConversion"/>
  </si>
  <si>
    <t xml:space="preserve">실습생급식비 5*30,000*2회         =300,000
개인부담금   150,000*12월       =1,800,000
실습비      5명*70,000*2회        =700,000
기타                              100,000
계                              2,900,000 </t>
    <phoneticPr fontId="18" type="noConversion"/>
  </si>
  <si>
    <t>명절휴가비   41,953,560
시간외수당   65,195,480
가족수당      7,200,000
계          114,349,040</t>
    <phoneticPr fontId="18" type="noConversion"/>
  </si>
  <si>
    <t>퇴직금및퇴직적립금 44,490,340</t>
    <phoneticPr fontId="18" type="noConversion"/>
  </si>
  <si>
    <t>신원보증보험        15,000*2명= 30,000
상해보험(아동+종사자+여행자)    200,000
화재보험                       300,000
자동차보험(스타렉스3164)      1,000,000
자동차보험(스타렉스8394)        800,000
자동차보험(모닝9214)            600,000
자동차보험(스파크6742)          600,000
영업배상책임보험                600,000
자동차세                       600,000
환경개선부담금                1,000,000
아동연합회비960,000*4분기     3,840,000
계                           9,570,000</t>
    <phoneticPr fontId="18" type="noConversion"/>
  </si>
  <si>
    <t>아동급식비  241,800*35명*12개월=101,556,000
종사자급식비 8명*100,000원*12월= 9,600,000
종사자급식비 4명*60,000원*12월 = 2,880,000
실습생급식비  5명*30,000*2회=       300,000
춘계부식,김장비14,270원*30명*1회=   499,450
월동대책비     35,394*35명*1회=   1,238,790
특별위로비     36,300*35명*2회=   2,541,000
후원금                           8,127,000
계                             126,742,240</t>
    <phoneticPr fontId="18" type="noConversion"/>
  </si>
  <si>
    <t>진료비 및 약제비     50,000*12월= 600,000
입원비              250,000*2명=  500,000
수술비(포경수술 등) 250,000*2명=   500,000
약품구입            25,000*12월=  300,000
장애아동진단비      150,000*4명=   600,000
CT 및 MRI 촬영                    600,000
안경수선및제작비 50,000*4명*12월=2,400,000 
계                             5,500,000</t>
    <phoneticPr fontId="18" type="noConversion"/>
  </si>
  <si>
    <t>취사연료비   2,240*35명*12월=  940,800
종사자급식비 1,000*12명*12월=  144,000
후원금,이자                    350,000
심야전기     1,000,000*12월=  12,000,000
계                          13,434,000</t>
    <phoneticPr fontId="18" type="noConversion"/>
  </si>
  <si>
    <t>중등 수학여행비 120,000*8명 =   960,000
중등 수련회비    50,000*15명*1회=750,000
계                              1,710,000</t>
    <phoneticPr fontId="18" type="noConversion"/>
  </si>
  <si>
    <t>연합회행사지원비             1,081,000
어린이날행사비 30명*10,000원=300,000
성탄파티       30명*10,000원=300,000
계                         1,681,000</t>
    <phoneticPr fontId="18" type="noConversion"/>
  </si>
  <si>
    <t>기본급     419,535,000</t>
    <phoneticPr fontId="18" type="noConversion"/>
  </si>
  <si>
    <t>피복비 11,902*35명*12월 = 4,998,840
후원금 30,000*35명*12월 =12,600,000 
계                       17,598,840</t>
    <phoneticPr fontId="18" type="noConversion"/>
  </si>
  <si>
    <t>아동필요용품 8,000*35명*12월=    3,360,000
아동핸드폰요금 10,000원*35명*12월=4,200,000
아동용돈 35명기준                10,225,080
아동용돈(후원금)62,500*35명*12월=26,250,000
하계수련비        24,000*35명=    840,000
잡수입                            500,000
계                           45,375,080</t>
    <phoneticPr fontId="18" type="noConversion"/>
  </si>
  <si>
    <t>건강보험
(8%)</t>
    <phoneticPr fontId="18" type="noConversion"/>
  </si>
  <si>
    <t>장기
요양보험
(6%)</t>
    <phoneticPr fontId="18" type="noConversion"/>
  </si>
  <si>
    <t>산재보험
(0.9%)</t>
    <phoneticPr fontId="18" type="noConversion"/>
  </si>
  <si>
    <t>국민연금
(5%)</t>
    <phoneticPr fontId="18" type="noConversion"/>
  </si>
  <si>
    <t>고용보험
(2%)</t>
    <phoneticPr fontId="18" type="noConversion"/>
  </si>
  <si>
    <t>국민건강보험 21,355,320
장기요양보험  1,949,660
국민연금보험 26,694,190
산재보험      3,877,500
고용보험      9,422,810
계          63,299,500</t>
    <phoneticPr fontId="18" type="noConversion"/>
  </si>
  <si>
    <t>아동 30명*5,662*12월= 2,038,320
생일파티 30명*55,000= 1,650,000
인솔자프로그램사업비 17,000*4*6=408,000
계                  4,096,320</t>
    <phoneticPr fontId="18" type="noConversion"/>
  </si>
  <si>
    <t xml:space="preserve">
한자서예    240,000*12월= 2,880,000
기타 예체능  95,083*12월= 1,141,000
계                       4,021,000</t>
    <phoneticPr fontId="18" type="noConversion"/>
  </si>
  <si>
    <t xml:space="preserve">학용품구입 3,000*30명*12월=    1,080,000                      </t>
    <phoneticPr fontId="18" type="noConversion"/>
  </si>
  <si>
    <t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 30,000*12월=   360,000
사무기기임대료  297,000*12월= 3,564,000
정수기 렌탈료   150,000*12월= 1,800,000
기타                         1,276,000
계                          15,600,000</t>
    <phoneticPr fontId="18" type="noConversion"/>
  </si>
  <si>
    <t>바우처지원비 월100,000*12월=1,200,000</t>
    <phoneticPr fontId="18" type="noConversion"/>
  </si>
  <si>
    <t>미술학원        100,000*12월= 1,200,000
씽크빅          100,000*12월= 1,200,000
기타            100,000*12월= 1,200,000
계                            3,600,000</t>
    <phoneticPr fontId="18" type="noConversion"/>
  </si>
  <si>
    <t>학습재료 등 31,809*35명= 1,113,315</t>
    <phoneticPr fontId="18" type="noConversion"/>
  </si>
  <si>
    <t>개인결연금 30명 30,000,000</t>
    <phoneticPr fontId="18" type="noConversion"/>
  </si>
  <si>
    <t>2020년 성애원(시설) 관리운영비 산출내역(시비)</t>
    <phoneticPr fontId="18" type="noConversion"/>
  </si>
  <si>
    <t>인건비     641,673,880
생계비     107.495,640
운영비      55,252,250
행사지원금   1,081,000
계         805,502,770</t>
    <phoneticPr fontId="18" type="noConversion"/>
  </si>
  <si>
    <t>아동용돈      11,304,000
하계수련비       840,000
교통비        11,520,000
수학여행비       960,000
학습보조비      3,620,000
안전관리비      2,000,000
계            30,244,000</t>
    <phoneticPr fontId="18" type="noConversion"/>
  </si>
  <si>
    <t>개인결연(개인후원,어린이재단,디딤씨앗)
아동연합회 경유 지정후원금
지역사회 지정후원금</t>
    <phoneticPr fontId="18" type="noConversion"/>
  </si>
  <si>
    <t>퇴직연금수수료</t>
    <phoneticPr fontId="18" type="noConversion"/>
  </si>
  <si>
    <t xml:space="preserve">비지정후원금 
지정후원금   </t>
    <phoneticPr fontId="18" type="noConversion"/>
  </si>
  <si>
    <t>전년도</t>
    <phoneticPr fontId="18" type="noConversion"/>
  </si>
  <si>
    <t>당해년도</t>
    <phoneticPr fontId="18" type="noConversion"/>
  </si>
  <si>
    <t>중1,2,3학년 1,600*240일*15명=5,760,000
후원금         20,000*15명=    300,000
계                           6,060,000</t>
    <phoneticPr fontId="18" type="noConversion"/>
  </si>
  <si>
    <t>전년도 예산대비 4.7% 증액</t>
  </si>
  <si>
    <t>전년도 예산대비 4.7% 증액</t>
    <phoneticPr fontId="18" type="noConversion"/>
  </si>
  <si>
    <t xml:space="preserve">2020년도 성애원(시설)세입 세출예산(안)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</si>
</sst>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;[Red]#,##0"/>
  </numFmts>
  <fonts count="2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</cellStyleXfs>
  <cellXfs count="311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8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12" xfId="5" applyNumberFormat="1" applyFont="1" applyFill="1" applyBorder="1" applyAlignment="1" applyProtection="1">
      <alignment horizontal="center"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41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3" fillId="2" borderId="1" xfId="5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 wrapText="1"/>
    </xf>
    <xf numFmtId="41" fontId="13" fillId="2" borderId="1" xfId="5" applyNumberFormat="1" applyFont="1" applyFill="1" applyBorder="1" applyAlignment="1">
      <alignment horizontal="center" vertical="center"/>
    </xf>
    <xf numFmtId="41" fontId="13" fillId="5" borderId="1" xfId="4" applyNumberFormat="1" applyFont="1" applyFill="1" applyBorder="1" applyAlignment="1">
      <alignment horizontal="center" vertical="center"/>
    </xf>
    <xf numFmtId="41" fontId="13" fillId="4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5" borderId="1" xfId="5" applyNumberFormat="1" applyFont="1" applyFill="1" applyBorder="1" applyAlignment="1" applyProtection="1">
      <alignment horizontal="center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41" fontId="13" fillId="0" borderId="1" xfId="2" applyNumberFormat="1" applyFont="1" applyFill="1" applyBorder="1" applyAlignment="1" applyProtection="1">
      <alignment horizontal="right" vertical="center" wrapText="1"/>
    </xf>
    <xf numFmtId="41" fontId="13" fillId="5" borderId="1" xfId="2" applyNumberFormat="1" applyFont="1" applyFill="1" applyBorder="1" applyAlignment="1" applyProtection="1">
      <alignment horizontal="right" vertical="center" wrapText="1"/>
    </xf>
    <xf numFmtId="41" fontId="13" fillId="2" borderId="1" xfId="2" applyNumberFormat="1" applyFont="1" applyFill="1" applyBorder="1" applyAlignment="1" applyProtection="1">
      <alignment horizontal="right" vertical="center" wrapText="1"/>
    </xf>
    <xf numFmtId="177" fontId="3" fillId="0" borderId="18" xfId="5" applyNumberFormat="1" applyFont="1" applyFill="1" applyBorder="1" applyAlignment="1" applyProtection="1">
      <alignment horizontal="right" vertical="center"/>
    </xf>
    <xf numFmtId="176" fontId="0" fillId="0" borderId="0" xfId="0" applyNumberFormat="1">
      <alignment vertical="center"/>
    </xf>
    <xf numFmtId="0" fontId="20" fillId="0" borderId="0" xfId="3" applyNumberFormat="1" applyFont="1">
      <alignment vertical="center"/>
    </xf>
    <xf numFmtId="0" fontId="21" fillId="0" borderId="0" xfId="3" applyNumberFormat="1" applyFont="1">
      <alignment vertical="center"/>
    </xf>
    <xf numFmtId="0" fontId="19" fillId="2" borderId="0" xfId="3" applyNumberFormat="1" applyFont="1" applyFill="1" applyAlignment="1">
      <alignment horizontal="center" vertical="center"/>
    </xf>
    <xf numFmtId="0" fontId="20" fillId="0" borderId="0" xfId="3" applyNumberFormat="1" applyFont="1" applyAlignment="1">
      <alignment horizontal="center" vertical="center"/>
    </xf>
    <xf numFmtId="41" fontId="19" fillId="2" borderId="0" xfId="5" applyNumberFormat="1" applyFont="1" applyFill="1" applyAlignment="1">
      <alignment horizontal="center" vertical="center"/>
    </xf>
    <xf numFmtId="0" fontId="22" fillId="0" borderId="0" xfId="3" applyNumberFormat="1" applyFont="1" applyBorder="1" applyAlignment="1">
      <alignment horizontal="left" vertical="center"/>
    </xf>
    <xf numFmtId="0" fontId="23" fillId="0" borderId="0" xfId="3" applyNumberFormat="1" applyFont="1" applyAlignment="1">
      <alignment horizontal="center" vertical="center"/>
    </xf>
    <xf numFmtId="41" fontId="23" fillId="0" borderId="0" xfId="5" applyNumberFormat="1" applyFont="1" applyBorder="1" applyAlignment="1">
      <alignment horizontal="center" vertical="center"/>
    </xf>
    <xf numFmtId="41" fontId="23" fillId="0" borderId="0" xfId="3" applyNumberFormat="1" applyFont="1" applyBorder="1" applyAlignment="1">
      <alignment horizontal="center" vertical="center"/>
    </xf>
    <xf numFmtId="0" fontId="23" fillId="0" borderId="0" xfId="3" applyNumberFormat="1" applyFont="1" applyBorder="1" applyAlignment="1">
      <alignment horizontal="center" vertical="center"/>
    </xf>
    <xf numFmtId="0" fontId="23" fillId="0" borderId="0" xfId="3" applyNumberFormat="1" applyFont="1" applyAlignment="1">
      <alignment horizontal="right" vertical="center"/>
    </xf>
    <xf numFmtId="0" fontId="20" fillId="0" borderId="0" xfId="3" applyNumberFormat="1" applyFont="1" applyFill="1">
      <alignment vertical="center"/>
    </xf>
    <xf numFmtId="0" fontId="23" fillId="0" borderId="26" xfId="3" applyNumberFormat="1" applyFont="1" applyFill="1" applyBorder="1" applyAlignment="1" applyProtection="1">
      <alignment horizontal="center" vertical="center"/>
    </xf>
    <xf numFmtId="0" fontId="23" fillId="0" borderId="9" xfId="3" applyNumberFormat="1" applyFont="1" applyFill="1" applyBorder="1" applyAlignment="1" applyProtection="1">
      <alignment horizontal="center" vertical="center"/>
    </xf>
    <xf numFmtId="41" fontId="23" fillId="0" borderId="8" xfId="5" applyNumberFormat="1" applyFont="1" applyFill="1" applyBorder="1" applyAlignment="1" applyProtection="1">
      <alignment horizontal="center" vertical="center"/>
    </xf>
    <xf numFmtId="41" fontId="23" fillId="0" borderId="9" xfId="5" applyNumberFormat="1" applyFont="1" applyFill="1" applyBorder="1" applyAlignment="1" applyProtection="1">
      <alignment horizontal="center" vertical="center"/>
    </xf>
    <xf numFmtId="0" fontId="23" fillId="0" borderId="8" xfId="3" applyNumberFormat="1" applyFont="1" applyFill="1" applyBorder="1" applyAlignment="1" applyProtection="1">
      <alignment horizontal="center" vertical="center"/>
    </xf>
    <xf numFmtId="41" fontId="20" fillId="0" borderId="18" xfId="5" applyNumberFormat="1" applyFont="1" applyBorder="1" applyAlignment="1">
      <alignment vertical="center"/>
    </xf>
    <xf numFmtId="41" fontId="20" fillId="0" borderId="4" xfId="5" applyNumberFormat="1" applyFont="1" applyBorder="1" applyAlignment="1">
      <alignment horizontal="center" vertical="center"/>
    </xf>
    <xf numFmtId="0" fontId="24" fillId="0" borderId="29" xfId="3" applyNumberFormat="1" applyFont="1" applyFill="1" applyBorder="1" applyAlignment="1">
      <alignment horizontal="left" vertical="center" wrapText="1"/>
    </xf>
    <xf numFmtId="43" fontId="20" fillId="0" borderId="0" xfId="3" applyNumberFormat="1" applyFont="1">
      <alignment vertical="center"/>
    </xf>
    <xf numFmtId="0" fontId="20" fillId="2" borderId="30" xfId="3" applyNumberFormat="1" applyFont="1" applyFill="1" applyBorder="1" applyAlignment="1">
      <alignment horizontal="center" vertical="center"/>
    </xf>
    <xf numFmtId="0" fontId="20" fillId="2" borderId="1" xfId="3" applyNumberFormat="1" applyFont="1" applyFill="1" applyBorder="1" applyAlignment="1">
      <alignment horizontal="center" vertical="center"/>
    </xf>
    <xf numFmtId="0" fontId="20" fillId="0" borderId="7" xfId="3" applyNumberFormat="1" applyFont="1" applyFill="1" applyBorder="1" applyAlignment="1" applyProtection="1">
      <alignment horizontal="center" vertical="center"/>
    </xf>
    <xf numFmtId="41" fontId="20" fillId="0" borderId="4" xfId="5" applyNumberFormat="1" applyFont="1" applyBorder="1" applyAlignment="1">
      <alignment vertical="center"/>
    </xf>
    <xf numFmtId="0" fontId="20" fillId="2" borderId="35" xfId="3" applyNumberFormat="1" applyFont="1" applyFill="1" applyBorder="1" applyAlignment="1">
      <alignment horizontal="center" vertical="center"/>
    </xf>
    <xf numFmtId="41" fontId="20" fillId="0" borderId="1" xfId="5" applyNumberFormat="1" applyFont="1" applyBorder="1">
      <alignment vertical="center"/>
    </xf>
    <xf numFmtId="0" fontId="24" fillId="0" borderId="31" xfId="3" applyNumberFormat="1" applyFont="1" applyBorder="1" applyAlignment="1">
      <alignment horizontal="left" vertical="center" wrapText="1"/>
    </xf>
    <xf numFmtId="0" fontId="20" fillId="0" borderId="0" xfId="3" applyNumberFormat="1" applyFont="1" applyAlignment="1">
      <alignment vertical="center" wrapText="1"/>
    </xf>
    <xf numFmtId="0" fontId="20" fillId="0" borderId="0" xfId="3" applyNumberFormat="1" applyFont="1" applyAlignment="1">
      <alignment vertical="center"/>
    </xf>
    <xf numFmtId="41" fontId="20" fillId="0" borderId="0" xfId="5" applyNumberFormat="1" applyFont="1" applyBorder="1">
      <alignment vertical="center"/>
    </xf>
    <xf numFmtId="41" fontId="20" fillId="0" borderId="7" xfId="5" applyNumberFormat="1" applyFont="1" applyBorder="1" applyAlignment="1">
      <alignment vertical="center"/>
    </xf>
    <xf numFmtId="0" fontId="24" fillId="0" borderId="31" xfId="3" applyNumberFormat="1" applyFont="1" applyBorder="1" applyAlignment="1">
      <alignment horizontal="left" vertical="center"/>
    </xf>
    <xf numFmtId="0" fontId="20" fillId="2" borderId="36" xfId="3" applyNumberFormat="1" applyFont="1" applyFill="1" applyBorder="1" applyAlignment="1">
      <alignment horizontal="center" vertical="center"/>
    </xf>
    <xf numFmtId="0" fontId="20" fillId="2" borderId="6" xfId="3" applyNumberFormat="1" applyFont="1" applyFill="1" applyBorder="1" applyAlignment="1">
      <alignment horizontal="center" vertical="center"/>
    </xf>
    <xf numFmtId="0" fontId="20" fillId="2" borderId="11" xfId="3" applyNumberFormat="1" applyFont="1" applyFill="1" applyBorder="1" applyAlignment="1">
      <alignment horizontal="center" vertical="center"/>
    </xf>
    <xf numFmtId="0" fontId="20" fillId="2" borderId="1" xfId="3" applyNumberFormat="1" applyFont="1" applyFill="1" applyBorder="1" applyAlignment="1" applyProtection="1">
      <alignment horizontal="center" vertical="center"/>
    </xf>
    <xf numFmtId="41" fontId="20" fillId="0" borderId="4" xfId="3" applyNumberFormat="1" applyFont="1" applyFill="1" applyBorder="1" applyAlignment="1" applyProtection="1">
      <alignment vertical="center"/>
    </xf>
    <xf numFmtId="0" fontId="24" fillId="0" borderId="31" xfId="3" applyNumberFormat="1" applyFont="1" applyFill="1" applyBorder="1" applyAlignment="1" applyProtection="1">
      <alignment horizontal="left" vertical="center" wrapText="1"/>
    </xf>
    <xf numFmtId="0" fontId="20" fillId="2" borderId="28" xfId="3" applyNumberFormat="1" applyFont="1" applyFill="1" applyBorder="1" applyAlignment="1" applyProtection="1">
      <alignment horizontal="center" vertical="center"/>
    </xf>
    <xf numFmtId="0" fontId="20" fillId="2" borderId="1" xfId="3" applyNumberFormat="1" applyFont="1" applyFill="1" applyBorder="1" applyAlignment="1" applyProtection="1">
      <alignment horizontal="center" vertical="center" wrapText="1"/>
    </xf>
    <xf numFmtId="41" fontId="20" fillId="0" borderId="1" xfId="3" applyNumberFormat="1" applyFont="1" applyFill="1" applyBorder="1" applyAlignment="1" applyProtection="1">
      <alignment vertical="center"/>
    </xf>
    <xf numFmtId="41" fontId="20" fillId="0" borderId="1" xfId="5" applyNumberFormat="1" applyFont="1" applyBorder="1" applyAlignment="1">
      <alignment horizontal="center" vertical="center"/>
    </xf>
    <xf numFmtId="0" fontId="21" fillId="0" borderId="31" xfId="3" applyNumberFormat="1" applyFont="1" applyFill="1" applyBorder="1" applyAlignment="1" applyProtection="1">
      <alignment horizontal="left" vertical="center"/>
    </xf>
    <xf numFmtId="0" fontId="20" fillId="2" borderId="5" xfId="3" applyNumberFormat="1" applyFont="1" applyFill="1" applyBorder="1" applyAlignment="1">
      <alignment horizontal="center" vertical="center"/>
    </xf>
    <xf numFmtId="0" fontId="20" fillId="2" borderId="5" xfId="3" applyNumberFormat="1" applyFont="1" applyFill="1" applyBorder="1" applyAlignment="1">
      <alignment horizontal="center" vertical="center" wrapText="1"/>
    </xf>
    <xf numFmtId="0" fontId="24" fillId="0" borderId="29" xfId="3" applyNumberFormat="1" applyFont="1" applyBorder="1" applyAlignment="1">
      <alignment horizontal="left" vertical="center" wrapText="1"/>
    </xf>
    <xf numFmtId="0" fontId="20" fillId="2" borderId="1" xfId="3" applyNumberFormat="1" applyFont="1" applyFill="1" applyBorder="1" applyAlignment="1">
      <alignment horizontal="center" vertical="center" wrapText="1"/>
    </xf>
    <xf numFmtId="0" fontId="24" fillId="0" borderId="39" xfId="3" applyNumberFormat="1" applyFont="1" applyBorder="1" applyAlignment="1">
      <alignment horizontal="left" vertical="center" wrapText="1"/>
    </xf>
    <xf numFmtId="0" fontId="20" fillId="2" borderId="37" xfId="3" applyNumberFormat="1" applyFont="1" applyFill="1" applyBorder="1" applyAlignment="1">
      <alignment horizontal="center" vertical="center"/>
    </xf>
    <xf numFmtId="0" fontId="20" fillId="2" borderId="38" xfId="3" applyNumberFormat="1" applyFont="1" applyFill="1" applyBorder="1" applyAlignment="1">
      <alignment horizontal="center" vertical="center"/>
    </xf>
    <xf numFmtId="0" fontId="20" fillId="2" borderId="20" xfId="3" applyNumberFormat="1" applyFont="1" applyFill="1" applyBorder="1" applyAlignment="1">
      <alignment horizontal="center" vertical="center"/>
    </xf>
    <xf numFmtId="41" fontId="20" fillId="0" borderId="20" xfId="5" applyNumberFormat="1" applyFont="1" applyBorder="1">
      <alignment vertical="center"/>
    </xf>
    <xf numFmtId="41" fontId="20" fillId="0" borderId="20" xfId="3" applyNumberFormat="1" applyFont="1" applyFill="1" applyBorder="1" applyAlignment="1" applyProtection="1">
      <alignment vertical="center"/>
    </xf>
    <xf numFmtId="0" fontId="24" fillId="0" borderId="32" xfId="3" applyNumberFormat="1" applyFont="1" applyBorder="1" applyAlignment="1">
      <alignment horizontal="left" vertical="center" wrapText="1"/>
    </xf>
    <xf numFmtId="41" fontId="20" fillId="0" borderId="0" xfId="5" applyNumberFormat="1" applyFont="1">
      <alignment vertical="center"/>
    </xf>
    <xf numFmtId="41" fontId="20" fillId="0" borderId="0" xfId="3" applyNumberFormat="1" applyFont="1">
      <alignment vertical="center"/>
    </xf>
    <xf numFmtId="0" fontId="4" fillId="0" borderId="0" xfId="3" applyNumberFormat="1" applyFont="1">
      <alignment vertical="center"/>
    </xf>
    <xf numFmtId="0" fontId="2" fillId="0" borderId="0" xfId="3" applyNumberFormat="1" applyFont="1">
      <alignment vertical="center"/>
    </xf>
    <xf numFmtId="0" fontId="26" fillId="2" borderId="0" xfId="3" applyNumberFormat="1" applyFont="1" applyFill="1" applyAlignment="1">
      <alignment horizontal="center" vertical="center"/>
    </xf>
    <xf numFmtId="41" fontId="4" fillId="2" borderId="0" xfId="3" applyNumberFormat="1" applyFont="1" applyFill="1" applyAlignment="1">
      <alignment horizontal="center" vertical="center"/>
    </xf>
    <xf numFmtId="41" fontId="26" fillId="2" borderId="0" xfId="3" applyNumberFormat="1" applyFont="1" applyFill="1" applyAlignment="1">
      <alignment horizontal="center" vertical="center"/>
    </xf>
    <xf numFmtId="0" fontId="26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6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3" fillId="0" borderId="8" xfId="5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7" fillId="2" borderId="5" xfId="5" applyNumberFormat="1" applyFont="1" applyFill="1" applyBorder="1" applyAlignment="1">
      <alignment horizontal="center" vertical="center"/>
    </xf>
    <xf numFmtId="41" fontId="27" fillId="2" borderId="5" xfId="5" applyNumberFormat="1" applyFont="1" applyFill="1" applyBorder="1" applyAlignment="1" applyProtection="1">
      <alignment horizontal="center" vertical="center"/>
    </xf>
    <xf numFmtId="41" fontId="27" fillId="0" borderId="5" xfId="3" applyNumberFormat="1" applyFont="1" applyFill="1" applyBorder="1" applyAlignment="1" applyProtection="1">
      <alignment vertical="center"/>
    </xf>
    <xf numFmtId="0" fontId="4" fillId="2" borderId="30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41" fontId="27" fillId="2" borderId="1" xfId="5" applyNumberFormat="1" applyFont="1" applyFill="1" applyBorder="1" applyAlignment="1">
      <alignment horizontal="center" vertical="center"/>
    </xf>
    <xf numFmtId="41" fontId="27" fillId="0" borderId="1" xfId="3" applyNumberFormat="1" applyFont="1" applyFill="1" applyBorder="1" applyAlignment="1" applyProtection="1">
      <alignment vertical="center"/>
    </xf>
    <xf numFmtId="0" fontId="28" fillId="0" borderId="31" xfId="3" applyNumberFormat="1" applyFont="1" applyBorder="1" applyAlignment="1">
      <alignment horizontal="left" vertical="center"/>
    </xf>
    <xf numFmtId="0" fontId="27" fillId="2" borderId="30" xfId="3" applyNumberFormat="1" applyFont="1" applyFill="1" applyBorder="1" applyAlignment="1">
      <alignment horizontal="center" vertical="center"/>
    </xf>
    <xf numFmtId="0" fontId="27" fillId="2" borderId="1" xfId="3" applyNumberFormat="1" applyFont="1" applyFill="1" applyBorder="1" applyAlignment="1">
      <alignment horizontal="center" vertical="center"/>
    </xf>
    <xf numFmtId="41" fontId="4" fillId="0" borderId="0" xfId="3" applyNumberFormat="1" applyFont="1">
      <alignment vertical="center"/>
    </xf>
    <xf numFmtId="41" fontId="27" fillId="2" borderId="1" xfId="5" applyNumberFormat="1" applyFont="1" applyFill="1" applyBorder="1" applyAlignment="1">
      <alignment horizontal="left" vertical="center"/>
    </xf>
    <xf numFmtId="41" fontId="4" fillId="0" borderId="1" xfId="1" applyFont="1" applyBorder="1">
      <alignment vertical="center"/>
    </xf>
    <xf numFmtId="0" fontId="28" fillId="0" borderId="31" xfId="3" applyNumberFormat="1" applyFont="1" applyBorder="1" applyAlignment="1">
      <alignment horizontal="left" vertical="center" wrapText="1"/>
    </xf>
    <xf numFmtId="176" fontId="4" fillId="0" borderId="1" xfId="3" applyNumberFormat="1" applyFont="1" applyBorder="1">
      <alignment vertical="center"/>
    </xf>
    <xf numFmtId="0" fontId="27" fillId="2" borderId="1" xfId="3" applyNumberFormat="1" applyFont="1" applyFill="1" applyBorder="1" applyAlignment="1">
      <alignment horizontal="center" vertical="center" wrapText="1"/>
    </xf>
    <xf numFmtId="41" fontId="27" fillId="2" borderId="1" xfId="3" applyNumberFormat="1" applyFont="1" applyFill="1" applyBorder="1" applyAlignment="1" applyProtection="1">
      <alignment vertical="center"/>
    </xf>
    <xf numFmtId="0" fontId="28" fillId="2" borderId="31" xfId="2" applyNumberFormat="1" applyFont="1" applyFill="1" applyBorder="1" applyAlignment="1">
      <alignment horizontal="left" vertical="center" wrapText="1"/>
    </xf>
    <xf numFmtId="0" fontId="27" fillId="0" borderId="1" xfId="3" applyNumberFormat="1" applyFont="1" applyFill="1" applyBorder="1" applyAlignment="1" applyProtection="1">
      <alignment horizontal="center" vertical="center"/>
    </xf>
    <xf numFmtId="0" fontId="28" fillId="0" borderId="31" xfId="3" applyNumberFormat="1" applyFont="1" applyFill="1" applyBorder="1" applyAlignment="1" applyProtection="1">
      <alignment horizontal="left" vertical="center" wrapText="1"/>
    </xf>
    <xf numFmtId="0" fontId="28" fillId="0" borderId="31" xfId="2" applyNumberFormat="1" applyFont="1" applyBorder="1" applyAlignment="1">
      <alignment horizontal="left" vertical="center" wrapText="1"/>
    </xf>
    <xf numFmtId="0" fontId="27" fillId="0" borderId="1" xfId="3" applyNumberFormat="1" applyFont="1" applyBorder="1" applyAlignment="1">
      <alignment horizontal="center" vertical="center"/>
    </xf>
    <xf numFmtId="0" fontId="27" fillId="2" borderId="20" xfId="3" applyNumberFormat="1" applyFont="1" applyFill="1" applyBorder="1" applyAlignment="1">
      <alignment horizontal="center" vertical="center"/>
    </xf>
    <xf numFmtId="176" fontId="4" fillId="0" borderId="20" xfId="3" applyNumberFormat="1" applyFont="1" applyBorder="1">
      <alignment vertical="center"/>
    </xf>
    <xf numFmtId="41" fontId="27" fillId="0" borderId="20" xfId="3" applyNumberFormat="1" applyFont="1" applyFill="1" applyBorder="1" applyAlignment="1" applyProtection="1">
      <alignment vertical="center"/>
    </xf>
    <xf numFmtId="0" fontId="28" fillId="0" borderId="32" xfId="3" applyNumberFormat="1" applyFont="1" applyBorder="1" applyAlignment="1">
      <alignment horizontal="left" vertical="center"/>
    </xf>
    <xf numFmtId="0" fontId="27" fillId="0" borderId="0" xfId="3" applyNumberFormat="1" applyFont="1">
      <alignment vertical="center"/>
    </xf>
    <xf numFmtId="0" fontId="27" fillId="0" borderId="0" xfId="3" applyNumberFormat="1" applyFont="1" applyAlignment="1">
      <alignment horizontal="center" vertical="center"/>
    </xf>
    <xf numFmtId="0" fontId="27" fillId="0" borderId="0" xfId="3" applyNumberFormat="1" applyFont="1" applyAlignment="1">
      <alignment horizontal="left" vertical="center"/>
    </xf>
    <xf numFmtId="0" fontId="4" fillId="0" borderId="0" xfId="3" applyNumberFormat="1" applyFont="1" applyAlignment="1">
      <alignment horizontal="center" vertical="center"/>
    </xf>
    <xf numFmtId="0" fontId="4" fillId="0" borderId="0" xfId="3" applyNumberFormat="1" applyFont="1" applyAlignment="1">
      <alignment horizontal="left" vertical="center"/>
    </xf>
    <xf numFmtId="41" fontId="20" fillId="0" borderId="1" xfId="5" applyNumberFormat="1" applyFont="1" applyBorder="1" applyAlignment="1">
      <alignment vertical="center"/>
    </xf>
    <xf numFmtId="41" fontId="20" fillId="2" borderId="5" xfId="5" applyNumberFormat="1" applyFont="1" applyFill="1" applyBorder="1" applyAlignment="1">
      <alignment horizontal="center" vertical="center"/>
    </xf>
    <xf numFmtId="41" fontId="20" fillId="2" borderId="1" xfId="5" applyNumberFormat="1" applyFont="1" applyFill="1" applyBorder="1" applyAlignment="1">
      <alignment horizontal="center" vertical="center"/>
    </xf>
    <xf numFmtId="41" fontId="20" fillId="2" borderId="1" xfId="5" applyNumberFormat="1" applyFont="1" applyFill="1" applyBorder="1" applyAlignment="1">
      <alignment horizontal="left" vertical="center"/>
    </xf>
    <xf numFmtId="41" fontId="20" fillId="2" borderId="1" xfId="5" applyNumberFormat="1" applyFont="1" applyFill="1" applyBorder="1" applyAlignment="1" applyProtection="1">
      <alignment horizontal="left" vertical="center"/>
    </xf>
    <xf numFmtId="41" fontId="20" fillId="7" borderId="1" xfId="5" applyNumberFormat="1" applyFont="1" applyFill="1" applyBorder="1" applyAlignment="1">
      <alignment horizontal="left" vertical="center"/>
    </xf>
    <xf numFmtId="41" fontId="20" fillId="0" borderId="20" xfId="5" applyNumberFormat="1" applyFont="1" applyBorder="1" applyAlignment="1">
      <alignment horizontal="center" vertical="center"/>
    </xf>
    <xf numFmtId="0" fontId="20" fillId="2" borderId="35" xfId="3" applyNumberFormat="1" applyFont="1" applyFill="1" applyBorder="1" applyAlignment="1">
      <alignment horizontal="center" vertical="center"/>
    </xf>
    <xf numFmtId="0" fontId="20" fillId="2" borderId="36" xfId="3" applyNumberFormat="1" applyFont="1" applyFill="1" applyBorder="1" applyAlignment="1">
      <alignment horizontal="center" vertical="center"/>
    </xf>
    <xf numFmtId="0" fontId="20" fillId="2" borderId="28" xfId="3" applyNumberFormat="1" applyFont="1" applyFill="1" applyBorder="1" applyAlignment="1">
      <alignment horizontal="center" vertical="center"/>
    </xf>
    <xf numFmtId="0" fontId="20" fillId="2" borderId="11" xfId="3" applyNumberFormat="1" applyFont="1" applyFill="1" applyBorder="1" applyAlignment="1">
      <alignment horizontal="center" vertical="center"/>
    </xf>
    <xf numFmtId="0" fontId="20" fillId="2" borderId="5" xfId="3" applyNumberFormat="1" applyFont="1" applyFill="1" applyBorder="1" applyAlignment="1">
      <alignment horizontal="center" vertical="center"/>
    </xf>
    <xf numFmtId="0" fontId="20" fillId="2" borderId="6" xfId="3" applyNumberFormat="1" applyFont="1" applyFill="1" applyBorder="1" applyAlignment="1">
      <alignment horizontal="center" vertical="center"/>
    </xf>
    <xf numFmtId="0" fontId="20" fillId="0" borderId="34" xfId="3" applyNumberFormat="1" applyFont="1" applyBorder="1" applyAlignment="1">
      <alignment horizontal="center" vertical="center"/>
    </xf>
    <xf numFmtId="0" fontId="20" fillId="0" borderId="2" xfId="3" applyNumberFormat="1" applyFont="1" applyBorder="1" applyAlignment="1">
      <alignment horizontal="center" vertical="center"/>
    </xf>
    <xf numFmtId="0" fontId="20" fillId="0" borderId="4" xfId="3" applyNumberFormat="1" applyFont="1" applyBorder="1" applyAlignment="1">
      <alignment horizontal="center" vertical="center"/>
    </xf>
    <xf numFmtId="0" fontId="19" fillId="2" borderId="0" xfId="3" applyNumberFormat="1" applyFont="1" applyFill="1" applyAlignment="1">
      <alignment horizontal="center" vertical="center"/>
    </xf>
    <xf numFmtId="41" fontId="23" fillId="0" borderId="19" xfId="5" applyNumberFormat="1" applyFont="1" applyFill="1" applyBorder="1" applyAlignment="1" applyProtection="1">
      <alignment horizontal="center" vertical="center" wrapText="1"/>
    </xf>
    <xf numFmtId="0" fontId="21" fillId="0" borderId="1" xfId="3" applyNumberFormat="1" applyFont="1" applyFill="1" applyBorder="1" applyAlignment="1" applyProtection="1">
      <alignment horizontal="center" vertical="center"/>
    </xf>
    <xf numFmtId="0" fontId="23" fillId="0" borderId="33" xfId="3" applyNumberFormat="1" applyFont="1" applyFill="1" applyBorder="1" applyAlignment="1" applyProtection="1">
      <alignment horizontal="center" vertical="center"/>
    </xf>
    <xf numFmtId="0" fontId="23" fillId="0" borderId="19" xfId="3" applyNumberFormat="1" applyFont="1" applyFill="1" applyBorder="1" applyAlignment="1" applyProtection="1">
      <alignment horizontal="center" vertical="center"/>
    </xf>
    <xf numFmtId="0" fontId="23" fillId="0" borderId="24" xfId="3" applyNumberFormat="1" applyFont="1" applyFill="1" applyBorder="1" applyAlignment="1" applyProtection="1">
      <alignment horizontal="center" vertical="center"/>
    </xf>
    <xf numFmtId="0" fontId="23" fillId="0" borderId="23" xfId="3" applyNumberFormat="1" applyFont="1" applyFill="1" applyBorder="1" applyAlignment="1" applyProtection="1">
      <alignment horizontal="center" vertical="center"/>
    </xf>
    <xf numFmtId="0" fontId="23" fillId="0" borderId="25" xfId="3" applyNumberFormat="1" applyFont="1" applyFill="1" applyBorder="1" applyAlignment="1" applyProtection="1">
      <alignment horizontal="center" vertical="center"/>
    </xf>
    <xf numFmtId="0" fontId="23" fillId="0" borderId="27" xfId="3" applyNumberFormat="1" applyFont="1" applyFill="1" applyBorder="1" applyAlignment="1" applyProtection="1">
      <alignment horizontal="center" vertical="center"/>
    </xf>
    <xf numFmtId="0" fontId="27" fillId="2" borderId="11" xfId="3" applyNumberFormat="1" applyFont="1" applyFill="1" applyBorder="1" applyAlignment="1">
      <alignment horizontal="center" vertical="center"/>
    </xf>
    <xf numFmtId="0" fontId="27" fillId="2" borderId="6" xfId="3" applyNumberFormat="1" applyFont="1" applyFill="1" applyBorder="1" applyAlignment="1">
      <alignment horizontal="center" vertical="center"/>
    </xf>
    <xf numFmtId="0" fontId="27" fillId="2" borderId="5" xfId="3" applyNumberFormat="1" applyFont="1" applyFill="1" applyBorder="1" applyAlignment="1">
      <alignment horizontal="center" vertical="center"/>
    </xf>
    <xf numFmtId="0" fontId="27" fillId="2" borderId="11" xfId="3" applyNumberFormat="1" applyFont="1" applyFill="1" applyBorder="1" applyAlignment="1" applyProtection="1">
      <alignment horizontal="center" vertical="center"/>
    </xf>
    <xf numFmtId="0" fontId="27" fillId="2" borderId="6" xfId="3" applyNumberFormat="1" applyFont="1" applyFill="1" applyBorder="1" applyAlignment="1" applyProtection="1">
      <alignment horizontal="center" vertical="center"/>
    </xf>
    <xf numFmtId="0" fontId="27" fillId="2" borderId="5" xfId="3" applyNumberFormat="1" applyFont="1" applyFill="1" applyBorder="1" applyAlignment="1" applyProtection="1">
      <alignment horizontal="center" vertical="center"/>
    </xf>
    <xf numFmtId="0" fontId="27" fillId="0" borderId="11" xfId="3" applyNumberFormat="1" applyFont="1" applyBorder="1" applyAlignment="1">
      <alignment horizontal="center" vertical="center"/>
    </xf>
    <xf numFmtId="0" fontId="27" fillId="0" borderId="6" xfId="3" applyNumberFormat="1" applyFont="1" applyBorder="1" applyAlignment="1">
      <alignment horizontal="center" vertical="center"/>
    </xf>
    <xf numFmtId="0" fontId="27" fillId="0" borderId="5" xfId="3" applyNumberFormat="1" applyFont="1" applyBorder="1" applyAlignment="1">
      <alignment horizontal="center" vertical="center"/>
    </xf>
    <xf numFmtId="0" fontId="27" fillId="2" borderId="30" xfId="3" applyNumberFormat="1" applyFont="1" applyFill="1" applyBorder="1" applyAlignment="1" applyProtection="1">
      <alignment horizontal="center" vertical="center"/>
    </xf>
    <xf numFmtId="0" fontId="27" fillId="2" borderId="40" xfId="3" applyNumberFormat="1" applyFont="1" applyFill="1" applyBorder="1" applyAlignment="1" applyProtection="1">
      <alignment horizontal="center" vertical="center"/>
    </xf>
    <xf numFmtId="0" fontId="25" fillId="2" borderId="0" xfId="3" applyNumberFormat="1" applyFont="1" applyFill="1" applyAlignment="1">
      <alignment horizontal="center" vertical="center"/>
    </xf>
    <xf numFmtId="0" fontId="4" fillId="0" borderId="24" xfId="3" applyNumberFormat="1" applyFont="1" applyFill="1" applyBorder="1" applyAlignment="1" applyProtection="1">
      <alignment horizontal="center" vertical="center" wrapText="1"/>
    </xf>
    <xf numFmtId="0" fontId="4" fillId="0" borderId="21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/>
    </xf>
    <xf numFmtId="0" fontId="4" fillId="0" borderId="23" xfId="3" applyNumberFormat="1" applyFont="1" applyFill="1" applyBorder="1" applyAlignment="1" applyProtection="1">
      <alignment horizontal="center" vertical="center"/>
    </xf>
    <xf numFmtId="41" fontId="4" fillId="0" borderId="19" xfId="5" applyNumberFormat="1" applyFont="1" applyFill="1" applyBorder="1" applyAlignment="1" applyProtection="1">
      <alignment horizontal="center" vertical="center"/>
    </xf>
    <xf numFmtId="0" fontId="4" fillId="0" borderId="19" xfId="3" applyNumberFormat="1" applyFont="1" applyFill="1" applyBorder="1" applyAlignment="1" applyProtection="1">
      <alignment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0" fontId="4" fillId="0" borderId="27" xfId="3" applyNumberFormat="1" applyFont="1" applyFill="1" applyBorder="1" applyAlignment="1" applyProtection="1">
      <alignment horizontal="center" vertical="center"/>
    </xf>
    <xf numFmtId="0" fontId="4" fillId="2" borderId="28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27" fillId="2" borderId="35" xfId="3" applyNumberFormat="1" applyFont="1" applyFill="1" applyBorder="1" applyAlignment="1">
      <alignment horizontal="center" vertical="center"/>
    </xf>
    <xf numFmtId="0" fontId="27" fillId="2" borderId="36" xfId="3" applyNumberFormat="1" applyFont="1" applyFill="1" applyBorder="1" applyAlignment="1">
      <alignment horizontal="center" vertical="center"/>
    </xf>
    <xf numFmtId="0" fontId="27" fillId="2" borderId="28" xfId="3" applyNumberFormat="1" applyFont="1" applyFill="1" applyBorder="1" applyAlignment="1">
      <alignment horizontal="center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5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2" borderId="17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</cellXfs>
  <cellStyles count="7"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9"/>
  <sheetViews>
    <sheetView tabSelected="1" zoomScaleNormal="100" workbookViewId="0">
      <selection activeCell="F10" sqref="F10"/>
    </sheetView>
  </sheetViews>
  <sheetFormatPr defaultColWidth="9" defaultRowHeight="13.5" x14ac:dyDescent="0.3"/>
  <cols>
    <col min="1" max="1" width="15.625" style="112" customWidth="1"/>
    <col min="2" max="2" width="15.625" style="115" customWidth="1"/>
    <col min="3" max="3" width="14.375" style="115" customWidth="1"/>
    <col min="4" max="4" width="13.75" style="167" customWidth="1"/>
    <col min="5" max="5" width="13.625" style="167" customWidth="1"/>
    <col min="6" max="6" width="14.125" style="112" customWidth="1"/>
    <col min="7" max="7" width="15.625" style="112" customWidth="1"/>
    <col min="8" max="8" width="42.25" style="112" customWidth="1"/>
    <col min="9" max="10" width="10" style="112" customWidth="1"/>
    <col min="11" max="11" width="18.875" style="112" customWidth="1"/>
    <col min="12" max="256" width="10" style="112" customWidth="1"/>
    <col min="257" max="16384" width="9" style="113"/>
  </cols>
  <sheetData>
    <row r="1" spans="1:11" ht="25.5" x14ac:dyDescent="0.3">
      <c r="A1" s="230" t="s">
        <v>228</v>
      </c>
      <c r="B1" s="230"/>
      <c r="C1" s="230"/>
      <c r="D1" s="230"/>
      <c r="E1" s="230"/>
      <c r="F1" s="230"/>
      <c r="G1" s="230"/>
      <c r="H1" s="230"/>
    </row>
    <row r="2" spans="1:11" ht="15" customHeight="1" x14ac:dyDescent="0.3">
      <c r="A2" s="114"/>
      <c r="B2" s="114"/>
      <c r="D2" s="116"/>
      <c r="E2" s="116"/>
      <c r="F2" s="114"/>
      <c r="G2" s="114"/>
      <c r="H2" s="114"/>
    </row>
    <row r="3" spans="1:11" ht="19.5" thickBot="1" x14ac:dyDescent="0.35">
      <c r="A3" s="117" t="s">
        <v>109</v>
      </c>
      <c r="B3" s="118"/>
      <c r="D3" s="119"/>
      <c r="E3" s="119"/>
      <c r="F3" s="120"/>
      <c r="G3" s="121"/>
      <c r="H3" s="122" t="s">
        <v>89</v>
      </c>
    </row>
    <row r="4" spans="1:11" s="123" customFormat="1" ht="26.1" customHeight="1" x14ac:dyDescent="0.3">
      <c r="A4" s="233" t="s">
        <v>88</v>
      </c>
      <c r="B4" s="234"/>
      <c r="C4" s="234"/>
      <c r="D4" s="231" t="s">
        <v>87</v>
      </c>
      <c r="E4" s="231"/>
      <c r="F4" s="235" t="s">
        <v>10</v>
      </c>
      <c r="G4" s="236"/>
      <c r="H4" s="237" t="s">
        <v>16</v>
      </c>
    </row>
    <row r="5" spans="1:11" s="123" customFormat="1" ht="26.1" customHeight="1" thickBot="1" x14ac:dyDescent="0.35">
      <c r="A5" s="124" t="s">
        <v>57</v>
      </c>
      <c r="B5" s="125" t="s">
        <v>61</v>
      </c>
      <c r="C5" s="125" t="s">
        <v>39</v>
      </c>
      <c r="D5" s="126" t="s">
        <v>230</v>
      </c>
      <c r="E5" s="127" t="s">
        <v>229</v>
      </c>
      <c r="F5" s="125" t="s">
        <v>46</v>
      </c>
      <c r="G5" s="128" t="s">
        <v>40</v>
      </c>
      <c r="H5" s="238"/>
    </row>
    <row r="6" spans="1:11" ht="26.1" customHeight="1" thickTop="1" x14ac:dyDescent="0.3">
      <c r="A6" s="227" t="s">
        <v>90</v>
      </c>
      <c r="B6" s="228"/>
      <c r="C6" s="229"/>
      <c r="D6" s="129">
        <f>D7+D12+D17+D21+D24</f>
        <v>1048470</v>
      </c>
      <c r="E6" s="129">
        <f>E7+E12+E17+E21+E24</f>
        <v>1097948</v>
      </c>
      <c r="F6" s="130">
        <f>E6-D6</f>
        <v>49478</v>
      </c>
      <c r="G6" s="130"/>
      <c r="H6" s="131" t="s">
        <v>298</v>
      </c>
      <c r="K6" s="132"/>
    </row>
    <row r="7" spans="1:11" ht="26.1" customHeight="1" x14ac:dyDescent="0.3">
      <c r="A7" s="133" t="s">
        <v>110</v>
      </c>
      <c r="B7" s="134"/>
      <c r="C7" s="135"/>
      <c r="D7" s="214">
        <f>D8</f>
        <v>799479</v>
      </c>
      <c r="E7" s="136">
        <f>E8</f>
        <v>835746</v>
      </c>
      <c r="F7" s="130">
        <f t="shared" ref="F7:F27" si="0">E7-D7</f>
        <v>36267</v>
      </c>
      <c r="G7" s="130"/>
      <c r="H7" s="131"/>
    </row>
    <row r="8" spans="1:11" ht="26.1" customHeight="1" x14ac:dyDescent="0.3">
      <c r="A8" s="221"/>
      <c r="B8" s="134" t="s">
        <v>110</v>
      </c>
      <c r="C8" s="135"/>
      <c r="D8" s="214">
        <f>D9+D10+D11</f>
        <v>799479</v>
      </c>
      <c r="E8" s="136">
        <f>E9+E10+E11</f>
        <v>835746</v>
      </c>
      <c r="F8" s="130">
        <f t="shared" si="0"/>
        <v>36267</v>
      </c>
      <c r="G8" s="130"/>
      <c r="H8" s="131"/>
    </row>
    <row r="9" spans="1:11" ht="69" customHeight="1" x14ac:dyDescent="0.3">
      <c r="A9" s="222"/>
      <c r="B9" s="232"/>
      <c r="C9" s="134" t="s">
        <v>112</v>
      </c>
      <c r="D9" s="138">
        <v>774841</v>
      </c>
      <c r="E9" s="138">
        <v>805502</v>
      </c>
      <c r="F9" s="130">
        <f t="shared" si="0"/>
        <v>30661</v>
      </c>
      <c r="G9" s="130"/>
      <c r="H9" s="139" t="s">
        <v>289</v>
      </c>
      <c r="J9" s="140"/>
      <c r="K9" s="141"/>
    </row>
    <row r="10" spans="1:11" ht="98.25" customHeight="1" x14ac:dyDescent="0.3">
      <c r="A10" s="222"/>
      <c r="B10" s="232"/>
      <c r="C10" s="134" t="s">
        <v>83</v>
      </c>
      <c r="D10" s="138">
        <v>24638</v>
      </c>
      <c r="E10" s="138">
        <v>30244</v>
      </c>
      <c r="F10" s="130">
        <f t="shared" si="0"/>
        <v>5606</v>
      </c>
      <c r="G10" s="130"/>
      <c r="H10" s="139" t="s">
        <v>290</v>
      </c>
    </row>
    <row r="11" spans="1:11" ht="35.25" hidden="1" customHeight="1" x14ac:dyDescent="0.3">
      <c r="A11" s="223"/>
      <c r="B11" s="232"/>
      <c r="C11" s="134" t="s">
        <v>127</v>
      </c>
      <c r="D11" s="138"/>
      <c r="E11" s="142"/>
      <c r="F11" s="130">
        <f t="shared" si="0"/>
        <v>0</v>
      </c>
      <c r="G11" s="130" t="e">
        <f>#REF!-#REF!</f>
        <v>#REF!</v>
      </c>
      <c r="H11" s="139"/>
    </row>
    <row r="12" spans="1:11" ht="26.1" customHeight="1" x14ac:dyDescent="0.3">
      <c r="A12" s="133" t="s">
        <v>122</v>
      </c>
      <c r="B12" s="134"/>
      <c r="C12" s="134"/>
      <c r="D12" s="214">
        <f>SUM(D14:D16)</f>
        <v>111550</v>
      </c>
      <c r="E12" s="143">
        <f>SUM(E14:E16)</f>
        <v>112500</v>
      </c>
      <c r="F12" s="130">
        <f t="shared" si="0"/>
        <v>950</v>
      </c>
      <c r="G12" s="130"/>
      <c r="H12" s="144"/>
    </row>
    <row r="13" spans="1:11" ht="26.1" customHeight="1" x14ac:dyDescent="0.3">
      <c r="A13" s="221"/>
      <c r="B13" s="134" t="s">
        <v>122</v>
      </c>
      <c r="C13" s="134"/>
      <c r="D13" s="214">
        <f>D14+D15+D16</f>
        <v>111550</v>
      </c>
      <c r="E13" s="136">
        <f>E14+E15+E16</f>
        <v>112500</v>
      </c>
      <c r="F13" s="130">
        <f t="shared" si="0"/>
        <v>950</v>
      </c>
      <c r="G13" s="130"/>
      <c r="H13" s="144"/>
    </row>
    <row r="14" spans="1:11" ht="51.75" customHeight="1" x14ac:dyDescent="0.3">
      <c r="A14" s="222"/>
      <c r="B14" s="224"/>
      <c r="C14" s="146" t="s">
        <v>103</v>
      </c>
      <c r="D14" s="138">
        <v>50000</v>
      </c>
      <c r="E14" s="138">
        <v>50000</v>
      </c>
      <c r="F14" s="130"/>
      <c r="G14" s="130"/>
      <c r="H14" s="139" t="s">
        <v>291</v>
      </c>
    </row>
    <row r="15" spans="1:11" ht="32.25" customHeight="1" x14ac:dyDescent="0.3">
      <c r="A15" s="222"/>
      <c r="B15" s="226"/>
      <c r="C15" s="147" t="s">
        <v>86</v>
      </c>
      <c r="D15" s="138">
        <v>60000</v>
      </c>
      <c r="E15" s="138">
        <v>60000</v>
      </c>
      <c r="F15" s="130"/>
      <c r="G15" s="130"/>
      <c r="H15" s="139"/>
    </row>
    <row r="16" spans="1:11" ht="32.25" customHeight="1" x14ac:dyDescent="0.3">
      <c r="A16" s="223"/>
      <c r="B16" s="225"/>
      <c r="C16" s="147" t="s">
        <v>225</v>
      </c>
      <c r="D16" s="138">
        <v>1550</v>
      </c>
      <c r="E16" s="138">
        <v>2500</v>
      </c>
      <c r="F16" s="130">
        <f t="shared" si="0"/>
        <v>950</v>
      </c>
      <c r="G16" s="130"/>
      <c r="H16" s="139"/>
    </row>
    <row r="17" spans="1:8" ht="26.1" customHeight="1" x14ac:dyDescent="0.3">
      <c r="A17" s="133" t="s">
        <v>37</v>
      </c>
      <c r="B17" s="134"/>
      <c r="C17" s="148"/>
      <c r="D17" s="153">
        <f>D18</f>
        <v>6000</v>
      </c>
      <c r="E17" s="149">
        <f>E18</f>
        <v>12000</v>
      </c>
      <c r="F17" s="130">
        <f t="shared" si="0"/>
        <v>6000</v>
      </c>
      <c r="G17" s="130"/>
      <c r="H17" s="150"/>
    </row>
    <row r="18" spans="1:8" ht="26.1" customHeight="1" x14ac:dyDescent="0.3">
      <c r="A18" s="221"/>
      <c r="B18" s="134" t="s">
        <v>37</v>
      </c>
      <c r="C18" s="148"/>
      <c r="D18" s="153">
        <f>D19+D20</f>
        <v>6000</v>
      </c>
      <c r="E18" s="149">
        <f>E19+E20</f>
        <v>12000</v>
      </c>
      <c r="F18" s="130">
        <f t="shared" si="0"/>
        <v>6000</v>
      </c>
      <c r="G18" s="130"/>
      <c r="H18" s="150"/>
    </row>
    <row r="19" spans="1:8" ht="30.75" customHeight="1" x14ac:dyDescent="0.3">
      <c r="A19" s="222"/>
      <c r="B19" s="224"/>
      <c r="C19" s="148" t="s">
        <v>101</v>
      </c>
      <c r="D19" s="138">
        <v>1000</v>
      </c>
      <c r="E19" s="138">
        <v>2000</v>
      </c>
      <c r="F19" s="130">
        <f t="shared" si="0"/>
        <v>1000</v>
      </c>
      <c r="G19" s="130"/>
      <c r="H19" s="150" t="s">
        <v>292</v>
      </c>
    </row>
    <row r="20" spans="1:8" ht="33" customHeight="1" x14ac:dyDescent="0.3">
      <c r="A20" s="223"/>
      <c r="B20" s="225"/>
      <c r="C20" s="152" t="s">
        <v>19</v>
      </c>
      <c r="D20" s="138">
        <v>5000</v>
      </c>
      <c r="E20" s="138">
        <v>10000</v>
      </c>
      <c r="F20" s="130">
        <f t="shared" si="0"/>
        <v>5000</v>
      </c>
      <c r="G20" s="130"/>
      <c r="H20" s="150"/>
    </row>
    <row r="21" spans="1:8" ht="26.1" customHeight="1" x14ac:dyDescent="0.3">
      <c r="A21" s="133" t="s">
        <v>33</v>
      </c>
      <c r="B21" s="134"/>
      <c r="C21" s="134"/>
      <c r="D21" s="153">
        <f>SUM(D23:D23)</f>
        <v>115541</v>
      </c>
      <c r="E21" s="153">
        <f>SUM(E23:E23)</f>
        <v>121322</v>
      </c>
      <c r="F21" s="130">
        <f t="shared" si="0"/>
        <v>5781</v>
      </c>
      <c r="G21" s="154"/>
      <c r="H21" s="155"/>
    </row>
    <row r="22" spans="1:8" ht="26.1" customHeight="1" x14ac:dyDescent="0.3">
      <c r="A22" s="137"/>
      <c r="B22" s="134" t="s">
        <v>33</v>
      </c>
      <c r="C22" s="134"/>
      <c r="D22" s="153">
        <f>D23</f>
        <v>115541</v>
      </c>
      <c r="E22" s="153">
        <f>E23</f>
        <v>121322</v>
      </c>
      <c r="F22" s="130">
        <f t="shared" si="0"/>
        <v>5781</v>
      </c>
      <c r="G22" s="154"/>
      <c r="H22" s="155"/>
    </row>
    <row r="23" spans="1:8" ht="49.5" customHeight="1" x14ac:dyDescent="0.3">
      <c r="A23" s="151"/>
      <c r="B23" s="156"/>
      <c r="C23" s="157" t="s">
        <v>91</v>
      </c>
      <c r="D23" s="138">
        <v>115541</v>
      </c>
      <c r="E23" s="138">
        <v>121322</v>
      </c>
      <c r="F23" s="130">
        <f t="shared" si="0"/>
        <v>5781</v>
      </c>
      <c r="G23" s="130"/>
      <c r="H23" s="158" t="s">
        <v>293</v>
      </c>
    </row>
    <row r="24" spans="1:8" ht="26.1" customHeight="1" x14ac:dyDescent="0.3">
      <c r="A24" s="133" t="s">
        <v>41</v>
      </c>
      <c r="B24" s="134"/>
      <c r="C24" s="134"/>
      <c r="D24" s="214">
        <f>SUM(D26:D28)</f>
        <v>15900</v>
      </c>
      <c r="E24" s="143">
        <f>SUM(E26:E28)</f>
        <v>16380</v>
      </c>
      <c r="F24" s="130">
        <f t="shared" si="0"/>
        <v>480</v>
      </c>
      <c r="G24" s="153"/>
      <c r="H24" s="144"/>
    </row>
    <row r="25" spans="1:8" ht="26.1" customHeight="1" x14ac:dyDescent="0.3">
      <c r="A25" s="145"/>
      <c r="B25" s="134" t="s">
        <v>41</v>
      </c>
      <c r="C25" s="134"/>
      <c r="D25" s="214">
        <f>SUM(D26:D28)</f>
        <v>15900</v>
      </c>
      <c r="E25" s="136">
        <f>E26+E27+E28</f>
        <v>16380</v>
      </c>
      <c r="F25" s="130">
        <f t="shared" si="0"/>
        <v>480</v>
      </c>
      <c r="G25" s="153"/>
      <c r="H25" s="144"/>
    </row>
    <row r="26" spans="1:8" ht="33" customHeight="1" x14ac:dyDescent="0.3">
      <c r="A26" s="145"/>
      <c r="B26" s="146"/>
      <c r="C26" s="157" t="s">
        <v>14</v>
      </c>
      <c r="D26" s="138">
        <v>1000</v>
      </c>
      <c r="E26" s="138">
        <v>1000</v>
      </c>
      <c r="F26" s="130"/>
      <c r="G26" s="153"/>
      <c r="H26" s="144"/>
    </row>
    <row r="27" spans="1:8" ht="52.5" customHeight="1" x14ac:dyDescent="0.3">
      <c r="A27" s="145"/>
      <c r="B27" s="146"/>
      <c r="C27" s="159" t="s">
        <v>260</v>
      </c>
      <c r="D27" s="138">
        <v>12000</v>
      </c>
      <c r="E27" s="138">
        <v>12480</v>
      </c>
      <c r="F27" s="130">
        <f t="shared" si="0"/>
        <v>480</v>
      </c>
      <c r="G27" s="153"/>
      <c r="H27" s="160" t="s">
        <v>261</v>
      </c>
    </row>
    <row r="28" spans="1:8" ht="60.75" thickBot="1" x14ac:dyDescent="0.35">
      <c r="A28" s="161"/>
      <c r="B28" s="162"/>
      <c r="C28" s="163" t="s">
        <v>100</v>
      </c>
      <c r="D28" s="164">
        <v>2900</v>
      </c>
      <c r="E28" s="164">
        <v>2900</v>
      </c>
      <c r="F28" s="220"/>
      <c r="G28" s="165"/>
      <c r="H28" s="166" t="s">
        <v>262</v>
      </c>
    </row>
    <row r="29" spans="1:8" x14ac:dyDescent="0.3">
      <c r="F29" s="168"/>
      <c r="G29" s="168"/>
    </row>
  </sheetData>
  <mergeCells count="12">
    <mergeCell ref="A18:A20"/>
    <mergeCell ref="B19:B20"/>
    <mergeCell ref="B14:B16"/>
    <mergeCell ref="A6:C6"/>
    <mergeCell ref="A1:H1"/>
    <mergeCell ref="D4:E4"/>
    <mergeCell ref="B9:B11"/>
    <mergeCell ref="A4:C4"/>
    <mergeCell ref="F4:G4"/>
    <mergeCell ref="H4:H5"/>
    <mergeCell ref="A13:A16"/>
    <mergeCell ref="A8:A11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R62"/>
  <sheetViews>
    <sheetView zoomScale="90" zoomScaleNormal="90" workbookViewId="0">
      <selection activeCell="F5" sqref="F5"/>
    </sheetView>
  </sheetViews>
  <sheetFormatPr defaultColWidth="9" defaultRowHeight="13.5" x14ac:dyDescent="0.3"/>
  <cols>
    <col min="1" max="1" width="12.625" style="169" bestFit="1" customWidth="1"/>
    <col min="2" max="2" width="12.625" style="212" bestFit="1" customWidth="1"/>
    <col min="3" max="3" width="18.25" style="212" bestFit="1" customWidth="1"/>
    <col min="4" max="4" width="14.75" style="169" bestFit="1" customWidth="1"/>
    <col min="5" max="5" width="17" style="169" bestFit="1" customWidth="1"/>
    <col min="6" max="6" width="14.75" style="169" bestFit="1" customWidth="1"/>
    <col min="7" max="7" width="13.75" style="169" customWidth="1"/>
    <col min="8" max="8" width="42.625" style="213" customWidth="1"/>
    <col min="9" max="252" width="10" style="169" customWidth="1"/>
    <col min="253" max="16384" width="9" style="170"/>
  </cols>
  <sheetData>
    <row r="1" spans="1:8" ht="39" customHeight="1" x14ac:dyDescent="0.3">
      <c r="A1" s="250" t="s">
        <v>299</v>
      </c>
      <c r="B1" s="250"/>
      <c r="C1" s="250"/>
      <c r="D1" s="250"/>
      <c r="E1" s="250"/>
      <c r="F1" s="250"/>
      <c r="G1" s="250"/>
      <c r="H1" s="250"/>
    </row>
    <row r="2" spans="1:8" ht="25.5" x14ac:dyDescent="0.3">
      <c r="A2" s="171"/>
      <c r="B2" s="171"/>
      <c r="C2" s="171"/>
      <c r="D2" s="172"/>
      <c r="E2" s="173"/>
      <c r="F2" s="171"/>
      <c r="G2" s="171"/>
      <c r="H2" s="174"/>
    </row>
    <row r="3" spans="1:8" s="169" customFormat="1" ht="14.25" thickBot="1" x14ac:dyDescent="0.35">
      <c r="A3" s="175" t="s">
        <v>113</v>
      </c>
      <c r="B3" s="175"/>
      <c r="C3" s="175"/>
      <c r="D3" s="176"/>
      <c r="E3" s="177"/>
      <c r="F3" s="177"/>
      <c r="G3" s="176"/>
      <c r="H3" s="178" t="s">
        <v>15</v>
      </c>
    </row>
    <row r="4" spans="1:8" ht="24.95" customHeight="1" x14ac:dyDescent="0.3">
      <c r="A4" s="252" t="s">
        <v>88</v>
      </c>
      <c r="B4" s="253"/>
      <c r="C4" s="254"/>
      <c r="D4" s="251" t="s">
        <v>92</v>
      </c>
      <c r="E4" s="251"/>
      <c r="F4" s="255" t="s">
        <v>9</v>
      </c>
      <c r="G4" s="256"/>
      <c r="H4" s="257" t="s">
        <v>102</v>
      </c>
    </row>
    <row r="5" spans="1:8" ht="24.95" customHeight="1" thickBot="1" x14ac:dyDescent="0.35">
      <c r="A5" s="179" t="s">
        <v>57</v>
      </c>
      <c r="B5" s="180" t="s">
        <v>61</v>
      </c>
      <c r="C5" s="180" t="s">
        <v>39</v>
      </c>
      <c r="D5" s="181" t="s">
        <v>294</v>
      </c>
      <c r="E5" s="84" t="s">
        <v>295</v>
      </c>
      <c r="F5" s="182" t="s">
        <v>46</v>
      </c>
      <c r="G5" s="182" t="s">
        <v>40</v>
      </c>
      <c r="H5" s="258"/>
    </row>
    <row r="6" spans="1:8" ht="27" customHeight="1" thickTop="1" x14ac:dyDescent="0.3">
      <c r="A6" s="259" t="s">
        <v>11</v>
      </c>
      <c r="B6" s="260"/>
      <c r="C6" s="260"/>
      <c r="D6" s="215">
        <f>D7+D24+D29+D55+D58</f>
        <v>1048470</v>
      </c>
      <c r="E6" s="183">
        <f>E7+E24+E29+E55+E58</f>
        <v>1097948</v>
      </c>
      <c r="F6" s="184">
        <f>E6-D6</f>
        <v>49478</v>
      </c>
      <c r="G6" s="185"/>
      <c r="H6" s="131" t="s">
        <v>297</v>
      </c>
    </row>
    <row r="7" spans="1:8" ht="24.75" customHeight="1" x14ac:dyDescent="0.3">
      <c r="A7" s="186" t="s">
        <v>42</v>
      </c>
      <c r="B7" s="187"/>
      <c r="C7" s="187"/>
      <c r="D7" s="216">
        <f>D8+D14+D17</f>
        <v>708826</v>
      </c>
      <c r="E7" s="188">
        <f>E8+E14+E17</f>
        <v>720089</v>
      </c>
      <c r="F7" s="184">
        <f t="shared" ref="F7:F60" si="0">E7-D7</f>
        <v>11263</v>
      </c>
      <c r="G7" s="189"/>
      <c r="H7" s="190"/>
    </row>
    <row r="8" spans="1:8" ht="24.75" customHeight="1" x14ac:dyDescent="0.3">
      <c r="A8" s="261"/>
      <c r="B8" s="192" t="s">
        <v>49</v>
      </c>
      <c r="C8" s="192"/>
      <c r="D8" s="216">
        <f>SUM(D9:D13)</f>
        <v>633678</v>
      </c>
      <c r="E8" s="188">
        <f>SUM(E9:E13)</f>
        <v>643525</v>
      </c>
      <c r="F8" s="184">
        <f t="shared" si="0"/>
        <v>9847</v>
      </c>
      <c r="G8" s="189"/>
      <c r="H8" s="190"/>
    </row>
    <row r="9" spans="1:8" ht="48" customHeight="1" x14ac:dyDescent="0.3">
      <c r="A9" s="262"/>
      <c r="B9" s="239"/>
      <c r="C9" s="192" t="s">
        <v>93</v>
      </c>
      <c r="D9" s="217">
        <v>400272</v>
      </c>
      <c r="E9" s="195">
        <v>419535</v>
      </c>
      <c r="F9" s="184">
        <f t="shared" si="0"/>
        <v>19263</v>
      </c>
      <c r="G9" s="189"/>
      <c r="H9" s="196" t="s">
        <v>271</v>
      </c>
    </row>
    <row r="10" spans="1:8" ht="63" customHeight="1" x14ac:dyDescent="0.3">
      <c r="A10" s="262"/>
      <c r="B10" s="240"/>
      <c r="C10" s="192" t="s">
        <v>115</v>
      </c>
      <c r="D10" s="217">
        <v>109728</v>
      </c>
      <c r="E10" s="197">
        <v>114349</v>
      </c>
      <c r="F10" s="184">
        <f t="shared" si="0"/>
        <v>4621</v>
      </c>
      <c r="G10" s="189"/>
      <c r="H10" s="196" t="s">
        <v>263</v>
      </c>
    </row>
    <row r="11" spans="1:8" ht="35.25" customHeight="1" x14ac:dyDescent="0.3">
      <c r="A11" s="262"/>
      <c r="B11" s="240"/>
      <c r="C11" s="198" t="s">
        <v>4</v>
      </c>
      <c r="D11" s="217">
        <v>51000</v>
      </c>
      <c r="E11" s="197">
        <v>44490</v>
      </c>
      <c r="F11" s="184"/>
      <c r="G11" s="189">
        <f>D11-E11</f>
        <v>6510</v>
      </c>
      <c r="H11" s="196" t="s">
        <v>264</v>
      </c>
    </row>
    <row r="12" spans="1:8" ht="81.75" customHeight="1" x14ac:dyDescent="0.3">
      <c r="A12" s="262"/>
      <c r="B12" s="240"/>
      <c r="C12" s="198" t="s">
        <v>18</v>
      </c>
      <c r="D12" s="217">
        <v>70826</v>
      </c>
      <c r="E12" s="197">
        <v>63299</v>
      </c>
      <c r="F12" s="184"/>
      <c r="G12" s="189">
        <f>D12-E12</f>
        <v>7527</v>
      </c>
      <c r="H12" s="196" t="s">
        <v>279</v>
      </c>
    </row>
    <row r="13" spans="1:8" ht="100.5" customHeight="1" x14ac:dyDescent="0.3">
      <c r="A13" s="262"/>
      <c r="B13" s="241"/>
      <c r="C13" s="192" t="s">
        <v>98</v>
      </c>
      <c r="D13" s="218">
        <v>1852</v>
      </c>
      <c r="E13" s="197">
        <v>1852</v>
      </c>
      <c r="F13" s="184"/>
      <c r="G13" s="189"/>
      <c r="H13" s="196" t="s">
        <v>219</v>
      </c>
    </row>
    <row r="14" spans="1:8" ht="24.75" customHeight="1" x14ac:dyDescent="0.3">
      <c r="A14" s="262"/>
      <c r="B14" s="192" t="s">
        <v>111</v>
      </c>
      <c r="C14" s="192"/>
      <c r="D14" s="216">
        <f>SUM(D15:D16)</f>
        <v>3674</v>
      </c>
      <c r="E14" s="188">
        <f>SUM(E15:E16)</f>
        <v>3674</v>
      </c>
      <c r="F14" s="184"/>
      <c r="G14" s="189"/>
      <c r="H14" s="190"/>
    </row>
    <row r="15" spans="1:8" ht="52.5" customHeight="1" x14ac:dyDescent="0.3">
      <c r="A15" s="262"/>
      <c r="B15" s="239"/>
      <c r="C15" s="192" t="s">
        <v>125</v>
      </c>
      <c r="D15" s="218">
        <v>2914</v>
      </c>
      <c r="E15" s="197">
        <v>2914</v>
      </c>
      <c r="F15" s="184"/>
      <c r="G15" s="189"/>
      <c r="H15" s="196" t="s">
        <v>220</v>
      </c>
    </row>
    <row r="16" spans="1:8" ht="49.5" customHeight="1" x14ac:dyDescent="0.3">
      <c r="A16" s="262"/>
      <c r="B16" s="241"/>
      <c r="C16" s="192" t="s">
        <v>120</v>
      </c>
      <c r="D16" s="218">
        <v>760</v>
      </c>
      <c r="E16" s="197">
        <v>760</v>
      </c>
      <c r="F16" s="184"/>
      <c r="G16" s="189"/>
      <c r="H16" s="196" t="s">
        <v>221</v>
      </c>
    </row>
    <row r="17" spans="1:8" ht="29.25" customHeight="1" x14ac:dyDescent="0.3">
      <c r="A17" s="262"/>
      <c r="B17" s="192" t="s">
        <v>45</v>
      </c>
      <c r="C17" s="192"/>
      <c r="D17" s="216">
        <f>SUM(D18:D23)</f>
        <v>71474</v>
      </c>
      <c r="E17" s="188">
        <f>SUM(E18:E23)</f>
        <v>72890</v>
      </c>
      <c r="F17" s="184">
        <f t="shared" si="0"/>
        <v>1416</v>
      </c>
      <c r="G17" s="189"/>
      <c r="H17" s="190"/>
    </row>
    <row r="18" spans="1:8" ht="72" customHeight="1" x14ac:dyDescent="0.3">
      <c r="A18" s="262"/>
      <c r="B18" s="239"/>
      <c r="C18" s="192" t="s">
        <v>82</v>
      </c>
      <c r="D18" s="217">
        <v>3100</v>
      </c>
      <c r="E18" s="197">
        <v>3100</v>
      </c>
      <c r="F18" s="184"/>
      <c r="G18" s="189"/>
      <c r="H18" s="196" t="s">
        <v>223</v>
      </c>
    </row>
    <row r="19" spans="1:8" ht="188.25" customHeight="1" x14ac:dyDescent="0.3">
      <c r="A19" s="262"/>
      <c r="B19" s="240"/>
      <c r="C19" s="198" t="s">
        <v>25</v>
      </c>
      <c r="D19" s="217">
        <v>14824</v>
      </c>
      <c r="E19" s="197">
        <v>15600</v>
      </c>
      <c r="F19" s="184">
        <f t="shared" si="0"/>
        <v>776</v>
      </c>
      <c r="G19" s="189"/>
      <c r="H19" s="196" t="s">
        <v>283</v>
      </c>
    </row>
    <row r="20" spans="1:8" ht="126" customHeight="1" x14ac:dyDescent="0.3">
      <c r="A20" s="262"/>
      <c r="B20" s="240"/>
      <c r="C20" s="192" t="s">
        <v>106</v>
      </c>
      <c r="D20" s="217">
        <v>32160</v>
      </c>
      <c r="E20" s="197">
        <v>32160</v>
      </c>
      <c r="F20" s="184"/>
      <c r="G20" s="189"/>
      <c r="H20" s="196" t="s">
        <v>222</v>
      </c>
    </row>
    <row r="21" spans="1:8" ht="153" customHeight="1" x14ac:dyDescent="0.3">
      <c r="A21" s="262"/>
      <c r="B21" s="240"/>
      <c r="C21" s="192" t="s">
        <v>108</v>
      </c>
      <c r="D21" s="217">
        <v>8930</v>
      </c>
      <c r="E21" s="197">
        <v>9570</v>
      </c>
      <c r="F21" s="184">
        <f t="shared" si="0"/>
        <v>640</v>
      </c>
      <c r="G21" s="189"/>
      <c r="H21" s="196" t="s">
        <v>265</v>
      </c>
    </row>
    <row r="22" spans="1:8" ht="49.5" customHeight="1" x14ac:dyDescent="0.3">
      <c r="A22" s="262"/>
      <c r="B22" s="240"/>
      <c r="C22" s="192" t="s">
        <v>104</v>
      </c>
      <c r="D22" s="217">
        <v>10800</v>
      </c>
      <c r="E22" s="197">
        <v>10800</v>
      </c>
      <c r="F22" s="184"/>
      <c r="G22" s="189"/>
      <c r="H22" s="196" t="s">
        <v>218</v>
      </c>
    </row>
    <row r="23" spans="1:8" ht="55.5" customHeight="1" x14ac:dyDescent="0.3">
      <c r="A23" s="263"/>
      <c r="B23" s="241"/>
      <c r="C23" s="192" t="s">
        <v>96</v>
      </c>
      <c r="D23" s="217">
        <v>1660</v>
      </c>
      <c r="E23" s="197">
        <v>1660</v>
      </c>
      <c r="F23" s="184"/>
      <c r="G23" s="189"/>
      <c r="H23" s="196" t="s">
        <v>216</v>
      </c>
    </row>
    <row r="24" spans="1:8" ht="24.75" customHeight="1" x14ac:dyDescent="0.3">
      <c r="A24" s="191" t="s">
        <v>118</v>
      </c>
      <c r="B24" s="192"/>
      <c r="C24" s="192"/>
      <c r="D24" s="216">
        <f>SUM(D26:D28)</f>
        <v>49418</v>
      </c>
      <c r="E24" s="188">
        <f>SUM(E26:E28)</f>
        <v>49418</v>
      </c>
      <c r="F24" s="184"/>
      <c r="G24" s="189"/>
      <c r="H24" s="190"/>
    </row>
    <row r="25" spans="1:8" ht="24.75" customHeight="1" x14ac:dyDescent="0.3">
      <c r="A25" s="261"/>
      <c r="B25" s="192" t="s">
        <v>38</v>
      </c>
      <c r="C25" s="192"/>
      <c r="D25" s="216">
        <f>D26+D27+D28</f>
        <v>49418</v>
      </c>
      <c r="E25" s="188">
        <f>E26+E27+E28</f>
        <v>49418</v>
      </c>
      <c r="F25" s="184"/>
      <c r="G25" s="189"/>
      <c r="H25" s="190"/>
    </row>
    <row r="26" spans="1:8" ht="24.75" customHeight="1" x14ac:dyDescent="0.3">
      <c r="A26" s="262"/>
      <c r="B26" s="239"/>
      <c r="C26" s="192" t="s">
        <v>38</v>
      </c>
      <c r="D26" s="218">
        <v>13858</v>
      </c>
      <c r="E26" s="197">
        <v>13858</v>
      </c>
      <c r="F26" s="184"/>
      <c r="G26" s="189"/>
      <c r="H26" s="196" t="s">
        <v>224</v>
      </c>
    </row>
    <row r="27" spans="1:8" ht="27" customHeight="1" x14ac:dyDescent="0.3">
      <c r="A27" s="262"/>
      <c r="B27" s="240"/>
      <c r="C27" s="192" t="s">
        <v>123</v>
      </c>
      <c r="D27" s="217">
        <v>3600</v>
      </c>
      <c r="E27" s="197">
        <v>3600</v>
      </c>
      <c r="F27" s="184"/>
      <c r="G27" s="189"/>
      <c r="H27" s="196" t="s">
        <v>212</v>
      </c>
    </row>
    <row r="28" spans="1:8" ht="90" customHeight="1" x14ac:dyDescent="0.3">
      <c r="A28" s="263"/>
      <c r="B28" s="241"/>
      <c r="C28" s="192" t="s">
        <v>105</v>
      </c>
      <c r="D28" s="217">
        <v>31960</v>
      </c>
      <c r="E28" s="197">
        <v>31960</v>
      </c>
      <c r="F28" s="184"/>
      <c r="G28" s="189"/>
      <c r="H28" s="196" t="s">
        <v>215</v>
      </c>
    </row>
    <row r="29" spans="1:8" ht="24.75" customHeight="1" x14ac:dyDescent="0.3">
      <c r="A29" s="191" t="s">
        <v>50</v>
      </c>
      <c r="B29" s="192"/>
      <c r="C29" s="192"/>
      <c r="D29" s="216">
        <f>D30+D36+D45</f>
        <v>277685</v>
      </c>
      <c r="E29" s="188">
        <f>E30+E36+E45</f>
        <v>284198</v>
      </c>
      <c r="F29" s="184">
        <f t="shared" si="0"/>
        <v>6513</v>
      </c>
      <c r="G29" s="189">
        <v>5487</v>
      </c>
      <c r="H29" s="190"/>
    </row>
    <row r="30" spans="1:8" ht="24.75" customHeight="1" x14ac:dyDescent="0.3">
      <c r="A30" s="261"/>
      <c r="B30" s="192" t="s">
        <v>45</v>
      </c>
      <c r="C30" s="192"/>
      <c r="D30" s="216">
        <f>SUM(D31:D35)</f>
        <v>184830</v>
      </c>
      <c r="E30" s="188">
        <f>SUM(E31:E35)</f>
        <v>208651</v>
      </c>
      <c r="F30" s="184">
        <f t="shared" si="0"/>
        <v>23821</v>
      </c>
      <c r="G30" s="189"/>
      <c r="H30" s="190"/>
    </row>
    <row r="31" spans="1:8" ht="121.5" customHeight="1" x14ac:dyDescent="0.3">
      <c r="A31" s="262"/>
      <c r="B31" s="242"/>
      <c r="C31" s="198" t="s">
        <v>0</v>
      </c>
      <c r="D31" s="217">
        <v>105584</v>
      </c>
      <c r="E31" s="197">
        <v>126743</v>
      </c>
      <c r="F31" s="184">
        <f t="shared" si="0"/>
        <v>21159</v>
      </c>
      <c r="G31" s="199"/>
      <c r="H31" s="200" t="s">
        <v>266</v>
      </c>
    </row>
    <row r="32" spans="1:8" ht="89.25" customHeight="1" x14ac:dyDescent="0.3">
      <c r="A32" s="262"/>
      <c r="B32" s="243"/>
      <c r="C32" s="198" t="s">
        <v>1</v>
      </c>
      <c r="D32" s="217">
        <v>46000</v>
      </c>
      <c r="E32" s="197">
        <v>45375</v>
      </c>
      <c r="F32" s="184"/>
      <c r="G32" s="189">
        <v>625</v>
      </c>
      <c r="H32" s="202" t="s">
        <v>273</v>
      </c>
    </row>
    <row r="33" spans="1:252" ht="50.25" customHeight="1" x14ac:dyDescent="0.3">
      <c r="A33" s="262"/>
      <c r="B33" s="243"/>
      <c r="C33" s="198" t="s">
        <v>117</v>
      </c>
      <c r="D33" s="217">
        <v>14446</v>
      </c>
      <c r="E33" s="197">
        <v>17599</v>
      </c>
      <c r="F33" s="184">
        <f t="shared" si="0"/>
        <v>3153</v>
      </c>
      <c r="G33" s="189"/>
      <c r="H33" s="200" t="s">
        <v>272</v>
      </c>
    </row>
    <row r="34" spans="1:252" ht="99" customHeight="1" x14ac:dyDescent="0.3">
      <c r="A34" s="262"/>
      <c r="B34" s="243"/>
      <c r="C34" s="192" t="s">
        <v>121</v>
      </c>
      <c r="D34" s="217">
        <v>5500</v>
      </c>
      <c r="E34" s="197">
        <v>5500</v>
      </c>
      <c r="F34" s="184"/>
      <c r="G34" s="189"/>
      <c r="H34" s="196" t="s">
        <v>267</v>
      </c>
    </row>
    <row r="35" spans="1:252" ht="89.25" customHeight="1" x14ac:dyDescent="0.3">
      <c r="A35" s="262"/>
      <c r="B35" s="244"/>
      <c r="C35" s="192" t="s">
        <v>84</v>
      </c>
      <c r="D35" s="217">
        <v>13300</v>
      </c>
      <c r="E35" s="197">
        <v>13434</v>
      </c>
      <c r="F35" s="184">
        <f t="shared" si="0"/>
        <v>134</v>
      </c>
      <c r="G35" s="189"/>
      <c r="H35" s="203" t="s">
        <v>268</v>
      </c>
    </row>
    <row r="36" spans="1:252" ht="24.75" customHeight="1" x14ac:dyDescent="0.3">
      <c r="A36" s="262"/>
      <c r="B36" s="204" t="s">
        <v>35</v>
      </c>
      <c r="C36" s="192"/>
      <c r="D36" s="217">
        <f>SUM(D37:D44)</f>
        <v>27812</v>
      </c>
      <c r="E36" s="194">
        <f>SUM(E37:E44)</f>
        <v>27043</v>
      </c>
      <c r="F36" s="184"/>
      <c r="G36" s="189">
        <v>769</v>
      </c>
      <c r="H36" s="190"/>
    </row>
    <row r="37" spans="1:252" ht="44.25" customHeight="1" x14ac:dyDescent="0.3">
      <c r="A37" s="262"/>
      <c r="B37" s="245"/>
      <c r="C37" s="192" t="s">
        <v>85</v>
      </c>
      <c r="D37" s="217">
        <v>2162</v>
      </c>
      <c r="E37" s="197">
        <v>1080</v>
      </c>
      <c r="F37" s="184"/>
      <c r="G37" s="189">
        <f>D37-E37</f>
        <v>1082</v>
      </c>
      <c r="H37" s="196" t="s">
        <v>282</v>
      </c>
    </row>
    <row r="38" spans="1:252" ht="74.25" customHeight="1" x14ac:dyDescent="0.3">
      <c r="A38" s="262"/>
      <c r="B38" s="246"/>
      <c r="C38" s="192" t="s">
        <v>114</v>
      </c>
      <c r="D38" s="217">
        <v>3951</v>
      </c>
      <c r="E38" s="197">
        <v>4336</v>
      </c>
      <c r="F38" s="184">
        <f t="shared" si="0"/>
        <v>385</v>
      </c>
      <c r="G38" s="189"/>
      <c r="H38" s="196" t="s">
        <v>213</v>
      </c>
    </row>
    <row r="39" spans="1:252" ht="42.75" customHeight="1" x14ac:dyDescent="0.3">
      <c r="A39" s="262"/>
      <c r="B39" s="246"/>
      <c r="C39" s="192" t="s">
        <v>107</v>
      </c>
      <c r="D39" s="217">
        <v>8080</v>
      </c>
      <c r="E39" s="197">
        <v>6060</v>
      </c>
      <c r="F39" s="184"/>
      <c r="G39" s="189">
        <v>2020</v>
      </c>
      <c r="H39" s="196" t="s">
        <v>296</v>
      </c>
    </row>
    <row r="40" spans="1:252" ht="62.25" customHeight="1" x14ac:dyDescent="0.3">
      <c r="A40" s="262"/>
      <c r="B40" s="246"/>
      <c r="C40" s="192" t="s">
        <v>94</v>
      </c>
      <c r="D40" s="217">
        <v>3600</v>
      </c>
      <c r="E40" s="197">
        <v>3600</v>
      </c>
      <c r="F40" s="184"/>
      <c r="G40" s="189"/>
      <c r="H40" s="196" t="s">
        <v>285</v>
      </c>
    </row>
    <row r="41" spans="1:252" ht="51.75" customHeight="1" x14ac:dyDescent="0.3">
      <c r="A41" s="262"/>
      <c r="B41" s="246"/>
      <c r="C41" s="192" t="s">
        <v>95</v>
      </c>
      <c r="D41" s="217">
        <v>1655</v>
      </c>
      <c r="E41" s="197">
        <v>1710</v>
      </c>
      <c r="F41" s="184">
        <f t="shared" si="0"/>
        <v>55</v>
      </c>
      <c r="G41" s="189"/>
      <c r="H41" s="196" t="s">
        <v>269</v>
      </c>
    </row>
    <row r="42" spans="1:252" ht="33.75" customHeight="1" x14ac:dyDescent="0.3">
      <c r="A42" s="262"/>
      <c r="B42" s="246"/>
      <c r="C42" s="192" t="s">
        <v>168</v>
      </c>
      <c r="D42" s="217">
        <v>3000</v>
      </c>
      <c r="E42" s="197">
        <v>6600</v>
      </c>
      <c r="F42" s="184">
        <f t="shared" si="0"/>
        <v>3600</v>
      </c>
      <c r="G42" s="189"/>
      <c r="H42" s="196" t="s">
        <v>214</v>
      </c>
    </row>
    <row r="43" spans="1:252" ht="45" customHeight="1" x14ac:dyDescent="0.3">
      <c r="A43" s="262"/>
      <c r="B43" s="246"/>
      <c r="C43" s="192" t="s">
        <v>116</v>
      </c>
      <c r="D43" s="217">
        <v>3360</v>
      </c>
      <c r="E43" s="197">
        <v>2544</v>
      </c>
      <c r="F43" s="184"/>
      <c r="G43" s="189">
        <v>816</v>
      </c>
      <c r="H43" s="196" t="s">
        <v>226</v>
      </c>
    </row>
    <row r="44" spans="1:252" ht="30.75" customHeight="1" x14ac:dyDescent="0.3">
      <c r="A44" s="262"/>
      <c r="B44" s="247"/>
      <c r="C44" s="192" t="s">
        <v>124</v>
      </c>
      <c r="D44" s="217">
        <v>2004</v>
      </c>
      <c r="E44" s="197">
        <v>1113</v>
      </c>
      <c r="F44" s="184"/>
      <c r="G44" s="189"/>
      <c r="H44" s="196" t="s">
        <v>286</v>
      </c>
      <c r="IP44" s="170"/>
      <c r="IQ44" s="170"/>
      <c r="IR44" s="170"/>
    </row>
    <row r="45" spans="1:252" ht="24.75" customHeight="1" x14ac:dyDescent="0.3">
      <c r="A45" s="262"/>
      <c r="B45" s="201" t="s">
        <v>50</v>
      </c>
      <c r="C45" s="192" t="s">
        <v>48</v>
      </c>
      <c r="D45" s="217">
        <f>SUM(D46:D54)</f>
        <v>65043</v>
      </c>
      <c r="E45" s="194">
        <f>SUM(E46:E54)</f>
        <v>48504</v>
      </c>
      <c r="F45" s="184"/>
      <c r="G45" s="189">
        <f>D45-E45</f>
        <v>16539</v>
      </c>
      <c r="H45" s="196"/>
      <c r="IP45" s="170"/>
      <c r="IQ45" s="170"/>
      <c r="IR45" s="170"/>
    </row>
    <row r="46" spans="1:252" ht="54" customHeight="1" x14ac:dyDescent="0.3">
      <c r="A46" s="262"/>
      <c r="B46" s="245"/>
      <c r="C46" s="198" t="s">
        <v>8</v>
      </c>
      <c r="D46" s="217">
        <v>6952</v>
      </c>
      <c r="E46" s="197">
        <v>4096</v>
      </c>
      <c r="F46" s="184"/>
      <c r="G46" s="189">
        <f>D46-E46</f>
        <v>2856</v>
      </c>
      <c r="H46" s="196" t="s">
        <v>280</v>
      </c>
      <c r="I46" s="193"/>
      <c r="IP46" s="170"/>
      <c r="IQ46" s="170"/>
      <c r="IR46" s="170"/>
    </row>
    <row r="47" spans="1:252" ht="36" customHeight="1" x14ac:dyDescent="0.3">
      <c r="A47" s="262"/>
      <c r="B47" s="246"/>
      <c r="C47" s="198" t="s">
        <v>7</v>
      </c>
      <c r="D47" s="217">
        <v>5040</v>
      </c>
      <c r="E47" s="197">
        <v>5040</v>
      </c>
      <c r="F47" s="184"/>
      <c r="G47" s="189"/>
      <c r="H47" s="196" t="s">
        <v>217</v>
      </c>
      <c r="I47" s="193"/>
      <c r="IP47" s="170"/>
      <c r="IQ47" s="170"/>
      <c r="IR47" s="170"/>
    </row>
    <row r="48" spans="1:252" ht="78" customHeight="1" x14ac:dyDescent="0.3">
      <c r="A48" s="262"/>
      <c r="B48" s="246"/>
      <c r="C48" s="198" t="s">
        <v>175</v>
      </c>
      <c r="D48" s="217">
        <v>6000</v>
      </c>
      <c r="E48" s="197">
        <v>4021</v>
      </c>
      <c r="F48" s="184"/>
      <c r="G48" s="189">
        <f>D48-E48</f>
        <v>1979</v>
      </c>
      <c r="H48" s="196" t="s">
        <v>281</v>
      </c>
      <c r="I48" s="193"/>
      <c r="IP48" s="170"/>
      <c r="IQ48" s="170"/>
      <c r="IR48" s="170"/>
    </row>
    <row r="49" spans="1:252" ht="46.5" customHeight="1" x14ac:dyDescent="0.3">
      <c r="A49" s="262"/>
      <c r="B49" s="246"/>
      <c r="C49" s="198" t="s">
        <v>5</v>
      </c>
      <c r="D49" s="217">
        <v>1366</v>
      </c>
      <c r="E49" s="197">
        <v>1366</v>
      </c>
      <c r="F49" s="184"/>
      <c r="G49" s="189"/>
      <c r="H49" s="196" t="s">
        <v>188</v>
      </c>
      <c r="I49" s="193"/>
      <c r="IP49" s="170"/>
      <c r="IQ49" s="170"/>
      <c r="IR49" s="170"/>
    </row>
    <row r="50" spans="1:252" ht="36" customHeight="1" x14ac:dyDescent="0.3">
      <c r="A50" s="262"/>
      <c r="B50" s="246"/>
      <c r="C50" s="198" t="s">
        <v>13</v>
      </c>
      <c r="D50" s="217">
        <v>3600</v>
      </c>
      <c r="E50" s="197">
        <v>1200</v>
      </c>
      <c r="F50" s="184"/>
      <c r="G50" s="189">
        <v>2400</v>
      </c>
      <c r="H50" s="196" t="s">
        <v>284</v>
      </c>
      <c r="I50" s="193"/>
      <c r="IP50" s="170"/>
      <c r="IQ50" s="170"/>
      <c r="IR50" s="170"/>
    </row>
    <row r="51" spans="1:252" ht="36" customHeight="1" x14ac:dyDescent="0.3">
      <c r="A51" s="262"/>
      <c r="B51" s="246"/>
      <c r="C51" s="198" t="s">
        <v>6</v>
      </c>
      <c r="D51" s="217">
        <v>257</v>
      </c>
      <c r="E51" s="197">
        <v>500</v>
      </c>
      <c r="F51" s="184">
        <f t="shared" si="0"/>
        <v>243</v>
      </c>
      <c r="G51" s="189"/>
      <c r="H51" s="196" t="s">
        <v>2</v>
      </c>
      <c r="I51" s="193"/>
      <c r="IP51" s="170"/>
      <c r="IQ51" s="170"/>
      <c r="IR51" s="170"/>
    </row>
    <row r="52" spans="1:252" ht="36" customHeight="1" x14ac:dyDescent="0.3">
      <c r="A52" s="262"/>
      <c r="B52" s="246"/>
      <c r="C52" s="198" t="s">
        <v>17</v>
      </c>
      <c r="D52" s="219">
        <v>40000</v>
      </c>
      <c r="E52" s="197">
        <v>30000</v>
      </c>
      <c r="F52" s="184"/>
      <c r="G52" s="189">
        <f>D52-E52</f>
        <v>10000</v>
      </c>
      <c r="H52" s="202" t="s">
        <v>287</v>
      </c>
      <c r="I52" s="193"/>
      <c r="IP52" s="170"/>
      <c r="IQ52" s="170"/>
      <c r="IR52" s="170"/>
    </row>
    <row r="53" spans="1:252" ht="36" customHeight="1" x14ac:dyDescent="0.3">
      <c r="A53" s="262"/>
      <c r="B53" s="246"/>
      <c r="C53" s="198" t="s">
        <v>99</v>
      </c>
      <c r="D53" s="217">
        <v>600</v>
      </c>
      <c r="E53" s="197">
        <v>600</v>
      </c>
      <c r="F53" s="184"/>
      <c r="G53" s="189"/>
      <c r="H53" s="202" t="s">
        <v>187</v>
      </c>
      <c r="I53" s="193"/>
      <c r="IP53" s="170"/>
      <c r="IQ53" s="170"/>
      <c r="IR53" s="170"/>
    </row>
    <row r="54" spans="1:252" ht="53.25" customHeight="1" x14ac:dyDescent="0.3">
      <c r="A54" s="263"/>
      <c r="B54" s="247"/>
      <c r="C54" s="198" t="s">
        <v>126</v>
      </c>
      <c r="D54" s="217">
        <v>1228</v>
      </c>
      <c r="E54" s="197">
        <v>1681</v>
      </c>
      <c r="F54" s="184">
        <f t="shared" si="0"/>
        <v>453</v>
      </c>
      <c r="G54" s="189"/>
      <c r="H54" s="202" t="s">
        <v>270</v>
      </c>
      <c r="I54" s="193"/>
      <c r="IP54" s="170"/>
      <c r="IQ54" s="170"/>
      <c r="IR54" s="170"/>
    </row>
    <row r="55" spans="1:252" ht="24.75" customHeight="1" x14ac:dyDescent="0.3">
      <c r="A55" s="191" t="s">
        <v>36</v>
      </c>
      <c r="B55" s="192"/>
      <c r="C55" s="192"/>
      <c r="D55" s="217">
        <f>D56</f>
        <v>1000</v>
      </c>
      <c r="E55" s="194">
        <f>E56</f>
        <v>1000</v>
      </c>
      <c r="F55" s="184"/>
      <c r="G55" s="189"/>
      <c r="H55" s="190"/>
    </row>
    <row r="56" spans="1:252" ht="24.75" customHeight="1" x14ac:dyDescent="0.3">
      <c r="A56" s="248"/>
      <c r="B56" s="192" t="s">
        <v>36</v>
      </c>
      <c r="C56" s="192"/>
      <c r="D56" s="217">
        <f>D57</f>
        <v>1000</v>
      </c>
      <c r="E56" s="194">
        <f>E57</f>
        <v>1000</v>
      </c>
      <c r="F56" s="184"/>
      <c r="G56" s="189"/>
      <c r="H56" s="190"/>
    </row>
    <row r="57" spans="1:252" ht="24.75" customHeight="1" x14ac:dyDescent="0.3">
      <c r="A57" s="248"/>
      <c r="B57" s="192"/>
      <c r="C57" s="192" t="s">
        <v>36</v>
      </c>
      <c r="D57" s="217">
        <v>1000</v>
      </c>
      <c r="E57" s="197">
        <v>1000</v>
      </c>
      <c r="F57" s="184"/>
      <c r="G57" s="189"/>
      <c r="H57" s="190" t="s">
        <v>97</v>
      </c>
    </row>
    <row r="58" spans="1:252" ht="24.75" customHeight="1" x14ac:dyDescent="0.3">
      <c r="A58" s="191" t="s">
        <v>47</v>
      </c>
      <c r="B58" s="192"/>
      <c r="C58" s="192"/>
      <c r="D58" s="217">
        <f>D59</f>
        <v>11541</v>
      </c>
      <c r="E58" s="194">
        <f>E59</f>
        <v>43243</v>
      </c>
      <c r="F58" s="184">
        <f t="shared" si="0"/>
        <v>31702</v>
      </c>
      <c r="G58" s="189"/>
      <c r="H58" s="190"/>
    </row>
    <row r="59" spans="1:252" ht="24.75" customHeight="1" x14ac:dyDescent="0.3">
      <c r="A59" s="248"/>
      <c r="B59" s="192" t="s">
        <v>47</v>
      </c>
      <c r="C59" s="192"/>
      <c r="D59" s="217">
        <f>D60</f>
        <v>11541</v>
      </c>
      <c r="E59" s="194">
        <f>E60</f>
        <v>43243</v>
      </c>
      <c r="F59" s="184">
        <f t="shared" si="0"/>
        <v>31702</v>
      </c>
      <c r="G59" s="189"/>
      <c r="H59" s="190"/>
    </row>
    <row r="60" spans="1:252" ht="24.75" customHeight="1" thickBot="1" x14ac:dyDescent="0.35">
      <c r="A60" s="249"/>
      <c r="B60" s="205"/>
      <c r="C60" s="205" t="s">
        <v>211</v>
      </c>
      <c r="D60" s="217">
        <v>11541</v>
      </c>
      <c r="E60" s="206">
        <v>43243</v>
      </c>
      <c r="F60" s="184">
        <f t="shared" si="0"/>
        <v>31702</v>
      </c>
      <c r="G60" s="207"/>
      <c r="H60" s="208"/>
    </row>
    <row r="61" spans="1:252" ht="26.25" customHeight="1" x14ac:dyDescent="0.3">
      <c r="A61" s="209"/>
      <c r="B61" s="210"/>
      <c r="C61" s="210"/>
      <c r="D61" s="209"/>
      <c r="E61" s="209"/>
      <c r="F61" s="209"/>
      <c r="G61" s="209"/>
      <c r="H61" s="211"/>
    </row>
    <row r="62" spans="1:252" x14ac:dyDescent="0.3">
      <c r="A62" s="209"/>
      <c r="B62" s="210"/>
      <c r="C62" s="210"/>
      <c r="D62" s="209"/>
      <c r="E62" s="209"/>
      <c r="F62" s="209"/>
      <c r="G62" s="209"/>
      <c r="H62" s="211"/>
    </row>
  </sheetData>
  <mergeCells count="18">
    <mergeCell ref="A59:A60"/>
    <mergeCell ref="A1:H1"/>
    <mergeCell ref="D4:E4"/>
    <mergeCell ref="A4:C4"/>
    <mergeCell ref="F4:G4"/>
    <mergeCell ref="H4:H5"/>
    <mergeCell ref="A6:C6"/>
    <mergeCell ref="A8:A23"/>
    <mergeCell ref="B9:B13"/>
    <mergeCell ref="B15:B16"/>
    <mergeCell ref="B18:B23"/>
    <mergeCell ref="A30:A54"/>
    <mergeCell ref="A25:A28"/>
    <mergeCell ref="B26:B28"/>
    <mergeCell ref="B31:B35"/>
    <mergeCell ref="B37:B44"/>
    <mergeCell ref="B46:B54"/>
    <mergeCell ref="A56:A57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3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0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D19" sqref="C19:D19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.125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84" t="s">
        <v>231</v>
      </c>
      <c r="B1" s="284"/>
      <c r="C1" s="284"/>
      <c r="D1" s="285"/>
      <c r="E1" s="284"/>
      <c r="F1" s="284"/>
      <c r="G1" s="284"/>
      <c r="H1" s="285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1"/>
    </row>
    <row r="2" spans="1:21" ht="24.75" customHeight="1" x14ac:dyDescent="0.3">
      <c r="A2" s="286" t="s">
        <v>79</v>
      </c>
      <c r="B2" s="286"/>
      <c r="C2" s="97"/>
      <c r="E2" s="4"/>
      <c r="F2" s="4"/>
      <c r="G2" s="5"/>
      <c r="I2" s="96"/>
      <c r="J2" s="5"/>
      <c r="K2" s="7" t="s">
        <v>119</v>
      </c>
      <c r="L2" s="7"/>
      <c r="M2" s="5"/>
      <c r="N2" s="5"/>
      <c r="O2" s="5"/>
      <c r="P2" s="5"/>
      <c r="Q2" s="5"/>
      <c r="R2" s="5"/>
      <c r="S2" s="5"/>
      <c r="U2" s="7" t="s">
        <v>79</v>
      </c>
    </row>
    <row r="3" spans="1:21" ht="24" customHeight="1" x14ac:dyDescent="0.3">
      <c r="A3" s="277" t="s">
        <v>73</v>
      </c>
      <c r="B3" s="277" t="s">
        <v>69</v>
      </c>
      <c r="C3" s="277" t="s">
        <v>68</v>
      </c>
      <c r="D3" s="277" t="s">
        <v>67</v>
      </c>
      <c r="E3" s="280" t="s">
        <v>59</v>
      </c>
      <c r="F3" s="281"/>
      <c r="G3" s="266" t="s">
        <v>145</v>
      </c>
      <c r="H3" s="275" t="s">
        <v>140</v>
      </c>
      <c r="I3" s="276"/>
      <c r="J3" s="266" t="s">
        <v>155</v>
      </c>
      <c r="K3" s="268" t="s">
        <v>64</v>
      </c>
      <c r="L3" s="268" t="s">
        <v>128</v>
      </c>
      <c r="M3" s="270"/>
      <c r="N3" s="271"/>
      <c r="O3" s="271"/>
      <c r="P3" s="271"/>
      <c r="Q3" s="271"/>
      <c r="R3" s="271"/>
      <c r="S3" s="272"/>
      <c r="T3" s="273"/>
      <c r="U3" s="264"/>
    </row>
    <row r="4" spans="1:21" ht="24" customHeight="1" x14ac:dyDescent="0.3">
      <c r="A4" s="278"/>
      <c r="B4" s="278"/>
      <c r="C4" s="278"/>
      <c r="D4" s="278"/>
      <c r="E4" s="282"/>
      <c r="F4" s="283"/>
      <c r="G4" s="267"/>
      <c r="H4" s="8" t="s">
        <v>58</v>
      </c>
      <c r="I4" s="9" t="s">
        <v>44</v>
      </c>
      <c r="J4" s="267"/>
      <c r="K4" s="269"/>
      <c r="L4" s="269"/>
      <c r="M4" s="9" t="s">
        <v>158</v>
      </c>
      <c r="N4" s="10" t="s">
        <v>138</v>
      </c>
      <c r="O4" s="9" t="s">
        <v>147</v>
      </c>
      <c r="P4" s="9" t="s">
        <v>142</v>
      </c>
      <c r="Q4" s="9" t="s">
        <v>150</v>
      </c>
      <c r="R4" s="9" t="s">
        <v>141</v>
      </c>
      <c r="S4" s="10" t="s">
        <v>156</v>
      </c>
      <c r="T4" s="274"/>
      <c r="U4" s="265"/>
    </row>
    <row r="5" spans="1:21" ht="30" customHeight="1" x14ac:dyDescent="0.3">
      <c r="A5" s="279"/>
      <c r="B5" s="279"/>
      <c r="C5" s="279"/>
      <c r="D5" s="279"/>
      <c r="E5" s="11">
        <f t="shared" ref="E5:U5" si="0">SUM(E6:E17)</f>
        <v>34961300</v>
      </c>
      <c r="F5" s="11">
        <f>ROUNDDOWN(SUM(F6:F17),-3)</f>
        <v>419535000</v>
      </c>
      <c r="G5" s="11">
        <f t="shared" si="0"/>
        <v>41953560</v>
      </c>
      <c r="H5" s="11">
        <f t="shared" si="0"/>
        <v>286</v>
      </c>
      <c r="I5" s="11">
        <f t="shared" si="0"/>
        <v>65195480</v>
      </c>
      <c r="J5" s="11">
        <f t="shared" si="0"/>
        <v>7200000</v>
      </c>
      <c r="K5" s="73">
        <f>ROUNDDOWN(SUM(K6:K17),-1)</f>
        <v>533884640</v>
      </c>
      <c r="L5" s="73" t="e">
        <f t="shared" si="0"/>
        <v>#REF!</v>
      </c>
      <c r="M5" s="11" t="e">
        <f t="shared" si="0"/>
        <v>#REF!</v>
      </c>
      <c r="N5" s="11" t="e">
        <f t="shared" si="0"/>
        <v>#REF!</v>
      </c>
      <c r="O5" s="11" t="e">
        <f t="shared" si="0"/>
        <v>#REF!</v>
      </c>
      <c r="P5" s="11" t="e">
        <f t="shared" si="0"/>
        <v>#REF!</v>
      </c>
      <c r="Q5" s="11" t="e">
        <f t="shared" si="0"/>
        <v>#REF!</v>
      </c>
      <c r="R5" s="11">
        <f t="shared" si="0"/>
        <v>40853790</v>
      </c>
      <c r="S5" s="11" t="e">
        <f t="shared" si="0"/>
        <v>#REF!</v>
      </c>
      <c r="T5" s="11" t="e">
        <f t="shared" si="0"/>
        <v>#REF!</v>
      </c>
      <c r="U5" s="12" t="e">
        <f t="shared" si="0"/>
        <v>#REF!</v>
      </c>
    </row>
    <row r="6" spans="1:21" ht="30" customHeight="1" x14ac:dyDescent="0.3">
      <c r="A6" s="13">
        <v>1</v>
      </c>
      <c r="B6" s="13" t="s">
        <v>163</v>
      </c>
      <c r="C6" s="13" t="s">
        <v>76</v>
      </c>
      <c r="D6" s="14">
        <v>23</v>
      </c>
      <c r="E6" s="15">
        <v>4662200</v>
      </c>
      <c r="F6" s="15">
        <f t="shared" ref="F6:F17" si="1">E6*12</f>
        <v>55946400</v>
      </c>
      <c r="G6" s="15">
        <f t="shared" ref="G6:G17" si="2">E6*120%</f>
        <v>5594640</v>
      </c>
      <c r="H6" s="15"/>
      <c r="I6" s="15"/>
      <c r="J6" s="15">
        <f>100000*12</f>
        <v>1200000</v>
      </c>
      <c r="K6" s="74">
        <f t="shared" ref="K6:K17" si="3">F6+G6+I6+J6</f>
        <v>62741040</v>
      </c>
      <c r="L6" s="74" t="e">
        <f>#REF!+120000</f>
        <v>#REF!</v>
      </c>
      <c r="M6" s="16" t="e">
        <f t="shared" ref="M6:M17" si="4">ROUNDDOWN(L6*2.995%,-1)</f>
        <v>#REF!</v>
      </c>
      <c r="N6" s="16" t="e">
        <f t="shared" ref="N6:N17" si="5">ROUNDDOWN(M6*6.55%,-1)</f>
        <v>#REF!</v>
      </c>
      <c r="O6" s="16" t="e">
        <f t="shared" ref="O6:O17" si="6">ROUNDDOWN(L6*0.045,-1)</f>
        <v>#REF!</v>
      </c>
      <c r="P6" s="16" t="e">
        <f t="shared" ref="P6:P17" si="7">ROUNDDOWN(L6*0.0056,-1)</f>
        <v>#REF!</v>
      </c>
      <c r="Q6" s="16" t="e">
        <f t="shared" ref="Q6:Q17" si="8">ROUNDDOWN(L6*0.009,-1)</f>
        <v>#REF!</v>
      </c>
      <c r="R6" s="16">
        <f t="shared" ref="R6:R17" si="9">ROUNDDOWN(K6/12,-1)</f>
        <v>5228420</v>
      </c>
      <c r="S6" s="16" t="e">
        <f t="shared" ref="S6:S17" si="10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130</v>
      </c>
      <c r="C7" s="19" t="s">
        <v>201</v>
      </c>
      <c r="D7" s="14">
        <v>21</v>
      </c>
      <c r="E7" s="15">
        <v>3800800</v>
      </c>
      <c r="F7" s="15">
        <f t="shared" si="1"/>
        <v>45609600</v>
      </c>
      <c r="G7" s="15">
        <f t="shared" si="2"/>
        <v>4560960</v>
      </c>
      <c r="H7" s="15">
        <v>8</v>
      </c>
      <c r="I7" s="15">
        <f t="shared" ref="I7:I17" si="11">ROUNDDOWN(F7*1/209*1.5*H7,-1)</f>
        <v>2618730</v>
      </c>
      <c r="J7" s="15">
        <f>120000*12</f>
        <v>1440000</v>
      </c>
      <c r="K7" s="74">
        <f t="shared" si="3"/>
        <v>54229290</v>
      </c>
      <c r="L7" s="74" t="e">
        <f>#REF!+120000</f>
        <v>#REF!</v>
      </c>
      <c r="M7" s="16" t="e">
        <f t="shared" si="4"/>
        <v>#REF!</v>
      </c>
      <c r="N7" s="16" t="e">
        <f t="shared" si="5"/>
        <v>#REF!</v>
      </c>
      <c r="O7" s="16" t="e">
        <f t="shared" si="6"/>
        <v>#REF!</v>
      </c>
      <c r="P7" s="16" t="e">
        <f t="shared" si="7"/>
        <v>#REF!</v>
      </c>
      <c r="Q7" s="16" t="e">
        <f t="shared" si="8"/>
        <v>#REF!</v>
      </c>
      <c r="R7" s="16">
        <f t="shared" si="9"/>
        <v>4519100</v>
      </c>
      <c r="S7" s="16" t="e">
        <f t="shared" si="10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200</v>
      </c>
      <c r="C8" s="19" t="s">
        <v>202</v>
      </c>
      <c r="D8" s="14">
        <v>19</v>
      </c>
      <c r="E8" s="15">
        <v>3107400</v>
      </c>
      <c r="F8" s="15">
        <f t="shared" si="1"/>
        <v>37288800</v>
      </c>
      <c r="G8" s="15">
        <f t="shared" si="2"/>
        <v>3728880</v>
      </c>
      <c r="H8" s="15">
        <v>8</v>
      </c>
      <c r="I8" s="15">
        <f t="shared" si="11"/>
        <v>2140980</v>
      </c>
      <c r="J8" s="15">
        <f>40000*12</f>
        <v>480000</v>
      </c>
      <c r="K8" s="74">
        <f t="shared" si="3"/>
        <v>43638660</v>
      </c>
      <c r="L8" s="74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203</v>
      </c>
      <c r="C9" s="13" t="s">
        <v>53</v>
      </c>
      <c r="D9" s="14">
        <v>21</v>
      </c>
      <c r="E9" s="15">
        <v>3196300</v>
      </c>
      <c r="F9" s="15">
        <f t="shared" si="1"/>
        <v>38355600</v>
      </c>
      <c r="G9" s="15">
        <f t="shared" si="2"/>
        <v>3835560</v>
      </c>
      <c r="H9" s="15">
        <v>30</v>
      </c>
      <c r="I9" s="15">
        <f t="shared" si="11"/>
        <v>8258380</v>
      </c>
      <c r="J9" s="15"/>
      <c r="K9" s="74">
        <f t="shared" si="3"/>
        <v>50449540</v>
      </c>
      <c r="L9" s="74" t="e">
        <f>#REF!+120000</f>
        <v>#REF!</v>
      </c>
      <c r="M9" s="16" t="e">
        <f t="shared" si="4"/>
        <v>#REF!</v>
      </c>
      <c r="N9" s="16" t="e">
        <f t="shared" si="5"/>
        <v>#REF!</v>
      </c>
      <c r="O9" s="16" t="e">
        <f t="shared" si="6"/>
        <v>#REF!</v>
      </c>
      <c r="P9" s="16" t="e">
        <f t="shared" si="7"/>
        <v>#REF!</v>
      </c>
      <c r="Q9" s="16" t="e">
        <f t="shared" si="8"/>
        <v>#REF!</v>
      </c>
      <c r="R9" s="16">
        <f t="shared" si="9"/>
        <v>4204120</v>
      </c>
      <c r="S9" s="16" t="e">
        <f t="shared" si="10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203</v>
      </c>
      <c r="C10" s="19" t="s">
        <v>80</v>
      </c>
      <c r="D10" s="14">
        <v>18</v>
      </c>
      <c r="E10" s="15">
        <v>3061300</v>
      </c>
      <c r="F10" s="15">
        <f t="shared" si="1"/>
        <v>36735600</v>
      </c>
      <c r="G10" s="15">
        <f t="shared" si="2"/>
        <v>3673560</v>
      </c>
      <c r="H10" s="15">
        <v>30</v>
      </c>
      <c r="I10" s="15">
        <f t="shared" si="11"/>
        <v>7909570</v>
      </c>
      <c r="J10" s="15">
        <f>80000*12</f>
        <v>960000</v>
      </c>
      <c r="K10" s="74">
        <f t="shared" si="3"/>
        <v>49278730</v>
      </c>
      <c r="L10" s="74" t="e">
        <f>#REF!+120000</f>
        <v>#REF!</v>
      </c>
      <c r="M10" s="16" t="e">
        <f t="shared" si="4"/>
        <v>#REF!</v>
      </c>
      <c r="N10" s="16" t="e">
        <f t="shared" si="5"/>
        <v>#REF!</v>
      </c>
      <c r="O10" s="16" t="e">
        <f t="shared" si="6"/>
        <v>#REF!</v>
      </c>
      <c r="P10" s="16" t="e">
        <f t="shared" si="7"/>
        <v>#REF!</v>
      </c>
      <c r="Q10" s="16" t="e">
        <f t="shared" si="8"/>
        <v>#REF!</v>
      </c>
      <c r="R10" s="16">
        <f t="shared" si="9"/>
        <v>4106560</v>
      </c>
      <c r="S10" s="16" t="e">
        <f t="shared" si="10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203</v>
      </c>
      <c r="C11" s="19" t="s">
        <v>77</v>
      </c>
      <c r="D11" s="14">
        <v>11</v>
      </c>
      <c r="E11" s="15">
        <v>2653900</v>
      </c>
      <c r="F11" s="15">
        <f t="shared" si="1"/>
        <v>31846800</v>
      </c>
      <c r="G11" s="15">
        <f t="shared" si="2"/>
        <v>3184680</v>
      </c>
      <c r="H11" s="15">
        <v>30</v>
      </c>
      <c r="I11" s="15">
        <f t="shared" si="11"/>
        <v>6856960</v>
      </c>
      <c r="J11" s="15">
        <f>40000*12</f>
        <v>480000</v>
      </c>
      <c r="K11" s="74">
        <f t="shared" si="3"/>
        <v>42368440</v>
      </c>
      <c r="L11" s="74" t="e">
        <f>#REF!+120000</f>
        <v>#REF!</v>
      </c>
      <c r="M11" s="16" t="e">
        <f t="shared" si="4"/>
        <v>#REF!</v>
      </c>
      <c r="N11" s="16" t="e">
        <f t="shared" si="5"/>
        <v>#REF!</v>
      </c>
      <c r="O11" s="16" t="e">
        <f t="shared" si="6"/>
        <v>#REF!</v>
      </c>
      <c r="P11" s="16" t="e">
        <f t="shared" si="7"/>
        <v>#REF!</v>
      </c>
      <c r="Q11" s="16" t="e">
        <f t="shared" si="8"/>
        <v>#REF!</v>
      </c>
      <c r="R11" s="16">
        <f t="shared" si="9"/>
        <v>3530700</v>
      </c>
      <c r="S11" s="16" t="e">
        <f t="shared" si="10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203</v>
      </c>
      <c r="C12" s="19" t="s">
        <v>183</v>
      </c>
      <c r="D12" s="14">
        <v>13</v>
      </c>
      <c r="E12" s="15">
        <v>2776100</v>
      </c>
      <c r="F12" s="15">
        <f t="shared" si="1"/>
        <v>33313200</v>
      </c>
      <c r="G12" s="15">
        <f t="shared" si="2"/>
        <v>3331320</v>
      </c>
      <c r="H12" s="15">
        <v>30</v>
      </c>
      <c r="I12" s="15">
        <f t="shared" si="11"/>
        <v>7172690</v>
      </c>
      <c r="J12" s="15"/>
      <c r="K12" s="74">
        <f t="shared" si="3"/>
        <v>43817210</v>
      </c>
      <c r="L12" s="74" t="e">
        <f>#REF!+120000</f>
        <v>#REF!</v>
      </c>
      <c r="M12" s="16" t="e">
        <f t="shared" si="4"/>
        <v>#REF!</v>
      </c>
      <c r="N12" s="16" t="e">
        <f t="shared" si="5"/>
        <v>#REF!</v>
      </c>
      <c r="O12" s="16" t="e">
        <f t="shared" si="6"/>
        <v>#REF!</v>
      </c>
      <c r="P12" s="16" t="e">
        <f t="shared" si="7"/>
        <v>#REF!</v>
      </c>
      <c r="Q12" s="16" t="e">
        <f t="shared" si="8"/>
        <v>#REF!</v>
      </c>
      <c r="R12" s="16">
        <f t="shared" si="9"/>
        <v>3651430</v>
      </c>
      <c r="S12" s="16" t="e">
        <f t="shared" si="10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203</v>
      </c>
      <c r="C13" s="19" t="s">
        <v>185</v>
      </c>
      <c r="D13" s="14">
        <v>10</v>
      </c>
      <c r="E13" s="15">
        <v>2590100</v>
      </c>
      <c r="F13" s="15">
        <f t="shared" si="1"/>
        <v>31081200</v>
      </c>
      <c r="G13" s="15">
        <f t="shared" si="2"/>
        <v>3108120</v>
      </c>
      <c r="H13" s="15">
        <v>30</v>
      </c>
      <c r="I13" s="15">
        <f t="shared" si="11"/>
        <v>6692120</v>
      </c>
      <c r="J13" s="15">
        <f>40000*12</f>
        <v>480000</v>
      </c>
      <c r="K13" s="74">
        <f t="shared" si="3"/>
        <v>41361440</v>
      </c>
      <c r="L13" s="74" t="e">
        <f>#REF!+120000</f>
        <v>#REF!</v>
      </c>
      <c r="M13" s="16" t="e">
        <f t="shared" si="4"/>
        <v>#REF!</v>
      </c>
      <c r="N13" s="16" t="e">
        <f t="shared" si="5"/>
        <v>#REF!</v>
      </c>
      <c r="O13" s="16" t="e">
        <f t="shared" si="6"/>
        <v>#REF!</v>
      </c>
      <c r="P13" s="16" t="e">
        <f t="shared" si="7"/>
        <v>#REF!</v>
      </c>
      <c r="Q13" s="16" t="e">
        <f t="shared" si="8"/>
        <v>#REF!</v>
      </c>
      <c r="R13" s="16">
        <f t="shared" si="9"/>
        <v>3446780</v>
      </c>
      <c r="S13" s="16" t="e">
        <f t="shared" si="10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203</v>
      </c>
      <c r="C14" s="19" t="s">
        <v>204</v>
      </c>
      <c r="D14" s="14">
        <v>8</v>
      </c>
      <c r="E14" s="15">
        <v>2444000</v>
      </c>
      <c r="F14" s="15">
        <f t="shared" si="1"/>
        <v>29328000</v>
      </c>
      <c r="G14" s="15">
        <f t="shared" si="2"/>
        <v>2932800</v>
      </c>
      <c r="H14" s="15">
        <v>30</v>
      </c>
      <c r="I14" s="15">
        <f t="shared" si="11"/>
        <v>6314640</v>
      </c>
      <c r="J14" s="15">
        <f>100000*12</f>
        <v>1200000</v>
      </c>
      <c r="K14" s="74">
        <f t="shared" si="3"/>
        <v>39775440</v>
      </c>
      <c r="L14" s="74" t="e">
        <f>#REF!+120000</f>
        <v>#REF!</v>
      </c>
      <c r="M14" s="16" t="e">
        <f t="shared" si="4"/>
        <v>#REF!</v>
      </c>
      <c r="N14" s="16" t="e">
        <f t="shared" si="5"/>
        <v>#REF!</v>
      </c>
      <c r="O14" s="16" t="e">
        <f t="shared" si="6"/>
        <v>#REF!</v>
      </c>
      <c r="P14" s="16" t="e">
        <f t="shared" si="7"/>
        <v>#REF!</v>
      </c>
      <c r="Q14" s="16" t="e">
        <f t="shared" si="8"/>
        <v>#REF!</v>
      </c>
      <c r="R14" s="16">
        <f t="shared" si="9"/>
        <v>3314620</v>
      </c>
      <c r="S14" s="16" t="e">
        <f t="shared" si="10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203</v>
      </c>
      <c r="C15" s="19" t="s">
        <v>205</v>
      </c>
      <c r="D15" s="14">
        <v>9</v>
      </c>
      <c r="E15" s="15">
        <v>2524400</v>
      </c>
      <c r="F15" s="15">
        <f t="shared" si="1"/>
        <v>30292800</v>
      </c>
      <c r="G15" s="15">
        <f t="shared" si="2"/>
        <v>3029280</v>
      </c>
      <c r="H15" s="15">
        <v>30</v>
      </c>
      <c r="I15" s="15">
        <f t="shared" si="11"/>
        <v>6522370</v>
      </c>
      <c r="J15" s="15"/>
      <c r="K15" s="74">
        <f t="shared" si="3"/>
        <v>39844450</v>
      </c>
      <c r="L15" s="74" t="e">
        <f>#REF!+120000</f>
        <v>#REF!</v>
      </c>
      <c r="M15" s="16" t="e">
        <f t="shared" si="4"/>
        <v>#REF!</v>
      </c>
      <c r="N15" s="16" t="e">
        <f t="shared" si="5"/>
        <v>#REF!</v>
      </c>
      <c r="O15" s="16" t="e">
        <f t="shared" si="6"/>
        <v>#REF!</v>
      </c>
      <c r="P15" s="16" t="e">
        <f t="shared" si="7"/>
        <v>#REF!</v>
      </c>
      <c r="Q15" s="16" t="e">
        <f t="shared" si="8"/>
        <v>#REF!</v>
      </c>
      <c r="R15" s="16">
        <f t="shared" si="9"/>
        <v>3320370</v>
      </c>
      <c r="S15" s="16" t="e">
        <f t="shared" si="10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203</v>
      </c>
      <c r="C16" s="19" t="s">
        <v>236</v>
      </c>
      <c r="D16" s="14">
        <v>4</v>
      </c>
      <c r="E16" s="15">
        <v>2088600</v>
      </c>
      <c r="F16" s="15">
        <f t="shared" si="1"/>
        <v>25063200</v>
      </c>
      <c r="G16" s="15">
        <f t="shared" si="2"/>
        <v>2506320</v>
      </c>
      <c r="H16" s="15">
        <v>30</v>
      </c>
      <c r="I16" s="15">
        <f t="shared" si="11"/>
        <v>5396380</v>
      </c>
      <c r="J16" s="15">
        <f>40000*12</f>
        <v>480000</v>
      </c>
      <c r="K16" s="74">
        <f t="shared" si="3"/>
        <v>33445900</v>
      </c>
      <c r="L16" s="74" t="e">
        <f>#REF!+120000</f>
        <v>#REF!</v>
      </c>
      <c r="M16" s="16" t="e">
        <f t="shared" si="4"/>
        <v>#REF!</v>
      </c>
      <c r="N16" s="16" t="e">
        <f t="shared" si="5"/>
        <v>#REF!</v>
      </c>
      <c r="O16" s="16" t="e">
        <f t="shared" si="6"/>
        <v>#REF!</v>
      </c>
      <c r="P16" s="16" t="e">
        <f t="shared" si="7"/>
        <v>#REF!</v>
      </c>
      <c r="Q16" s="16" t="e">
        <f t="shared" si="8"/>
        <v>#REF!</v>
      </c>
      <c r="R16" s="16">
        <f t="shared" si="9"/>
        <v>2787150</v>
      </c>
      <c r="S16" s="16" t="e">
        <f t="shared" si="10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206</v>
      </c>
      <c r="C17" s="19" t="s">
        <v>207</v>
      </c>
      <c r="D17" s="14">
        <v>6</v>
      </c>
      <c r="E17" s="15">
        <v>2056200</v>
      </c>
      <c r="F17" s="15">
        <f t="shared" si="1"/>
        <v>24674400</v>
      </c>
      <c r="G17" s="15">
        <f t="shared" si="2"/>
        <v>2467440</v>
      </c>
      <c r="H17" s="15">
        <v>30</v>
      </c>
      <c r="I17" s="15">
        <f t="shared" si="11"/>
        <v>5312660</v>
      </c>
      <c r="J17" s="15">
        <f>40000*12</f>
        <v>480000</v>
      </c>
      <c r="K17" s="74">
        <f t="shared" si="3"/>
        <v>32934500</v>
      </c>
      <c r="L17" s="74" t="e">
        <f>#REF!+120000</f>
        <v>#REF!</v>
      </c>
      <c r="M17" s="16" t="e">
        <f t="shared" si="4"/>
        <v>#REF!</v>
      </c>
      <c r="N17" s="16" t="e">
        <f t="shared" si="5"/>
        <v>#REF!</v>
      </c>
      <c r="O17" s="16" t="e">
        <f t="shared" si="6"/>
        <v>#REF!</v>
      </c>
      <c r="P17" s="16" t="e">
        <f t="shared" si="7"/>
        <v>#REF!</v>
      </c>
      <c r="Q17" s="16" t="e">
        <f t="shared" si="8"/>
        <v>#REF!</v>
      </c>
      <c r="R17" s="16">
        <f t="shared" si="9"/>
        <v>2744540</v>
      </c>
      <c r="S17" s="16" t="e">
        <f t="shared" si="10"/>
        <v>#REF!</v>
      </c>
      <c r="T17" s="17" t="e">
        <f>#REF!+#REF!+S17-#REF!</f>
        <v>#REF!</v>
      </c>
      <c r="U17" s="18" t="e">
        <f>#REF!+#REF!+S17</f>
        <v>#REF!</v>
      </c>
    </row>
    <row r="18" spans="1:21" x14ac:dyDescent="0.3">
      <c r="E18" s="21"/>
      <c r="F18" s="21"/>
      <c r="G18" s="21"/>
      <c r="H18" s="22"/>
      <c r="I18" s="21"/>
      <c r="J18" s="21"/>
      <c r="K18" s="21"/>
      <c r="L18" s="21"/>
    </row>
    <row r="19" spans="1:21" x14ac:dyDescent="0.3">
      <c r="E19" s="5"/>
      <c r="F19" s="5"/>
      <c r="G19" s="5"/>
      <c r="H19" s="23"/>
      <c r="I19" s="5"/>
      <c r="J19" s="5"/>
      <c r="K19" s="5"/>
      <c r="L19" s="5"/>
    </row>
    <row r="20" spans="1:21" x14ac:dyDescent="0.3">
      <c r="G20" s="111"/>
    </row>
  </sheetData>
  <mergeCells count="15">
    <mergeCell ref="B3:B5"/>
    <mergeCell ref="E3:F4"/>
    <mergeCell ref="D3:D5"/>
    <mergeCell ref="L3:L4"/>
    <mergeCell ref="A1:T1"/>
    <mergeCell ref="A2:B2"/>
    <mergeCell ref="A3:A5"/>
    <mergeCell ref="C3:C5"/>
    <mergeCell ref="U3:U4"/>
    <mergeCell ref="G3:G4"/>
    <mergeCell ref="K3:K4"/>
    <mergeCell ref="M3:S3"/>
    <mergeCell ref="T3:T4"/>
    <mergeCell ref="H3:I3"/>
    <mergeCell ref="J3:J4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0"/>
  <sheetViews>
    <sheetView topLeftCell="D1" zoomScaleNormal="100" workbookViewId="0">
      <selection activeCell="I17" sqref="I17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84" t="s">
        <v>232</v>
      </c>
      <c r="B1" s="284"/>
      <c r="C1" s="284"/>
      <c r="D1" s="284"/>
      <c r="E1" s="285"/>
      <c r="F1" s="285"/>
      <c r="G1" s="284"/>
      <c r="H1" s="284"/>
      <c r="I1" s="285"/>
      <c r="J1" s="284"/>
      <c r="K1" s="284"/>
      <c r="L1" s="284"/>
      <c r="M1" s="284"/>
      <c r="N1" s="284"/>
      <c r="O1" s="284"/>
      <c r="P1" s="284"/>
      <c r="Q1" s="284"/>
      <c r="R1" s="284"/>
      <c r="S1" s="284"/>
    </row>
    <row r="2" spans="1:19" ht="26.25" customHeight="1" x14ac:dyDescent="0.3">
      <c r="A2" s="89" t="s">
        <v>79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119</v>
      </c>
    </row>
    <row r="3" spans="1:19" ht="19.5" customHeight="1" x14ac:dyDescent="0.3">
      <c r="A3" s="277" t="s">
        <v>73</v>
      </c>
      <c r="B3" s="277" t="s">
        <v>69</v>
      </c>
      <c r="C3" s="277" t="s">
        <v>68</v>
      </c>
      <c r="D3" s="277" t="s">
        <v>67</v>
      </c>
      <c r="E3" s="280" t="s">
        <v>59</v>
      </c>
      <c r="F3" s="281"/>
      <c r="G3" s="266" t="s">
        <v>145</v>
      </c>
      <c r="H3" s="275" t="s">
        <v>140</v>
      </c>
      <c r="I3" s="276"/>
      <c r="J3" s="266" t="s">
        <v>155</v>
      </c>
      <c r="K3" s="268" t="s">
        <v>54</v>
      </c>
      <c r="L3" s="268" t="s">
        <v>167</v>
      </c>
      <c r="M3" s="291" t="s">
        <v>12</v>
      </c>
      <c r="N3" s="291"/>
      <c r="O3" s="291"/>
      <c r="P3" s="291"/>
      <c r="Q3" s="291"/>
      <c r="R3" s="291"/>
      <c r="S3" s="291"/>
    </row>
    <row r="4" spans="1:19" ht="14.25" customHeight="1" x14ac:dyDescent="0.3">
      <c r="A4" s="278"/>
      <c r="B4" s="278"/>
      <c r="C4" s="278"/>
      <c r="D4" s="278"/>
      <c r="E4" s="282"/>
      <c r="F4" s="283"/>
      <c r="G4" s="267"/>
      <c r="H4" s="8" t="s">
        <v>58</v>
      </c>
      <c r="I4" s="9" t="s">
        <v>44</v>
      </c>
      <c r="J4" s="267"/>
      <c r="K4" s="290"/>
      <c r="L4" s="290"/>
      <c r="M4" s="291"/>
      <c r="N4" s="291"/>
      <c r="O4" s="291"/>
      <c r="P4" s="291"/>
      <c r="Q4" s="291"/>
      <c r="R4" s="291"/>
      <c r="S4" s="291"/>
    </row>
    <row r="5" spans="1:19" ht="46.5" customHeight="1" x14ac:dyDescent="0.3">
      <c r="A5" s="279"/>
      <c r="B5" s="279"/>
      <c r="C5" s="279"/>
      <c r="D5" s="279"/>
      <c r="E5" s="11"/>
      <c r="F5" s="11"/>
      <c r="G5" s="11"/>
      <c r="H5" s="11"/>
      <c r="I5" s="11"/>
      <c r="J5" s="11"/>
      <c r="K5" s="269"/>
      <c r="L5" s="269"/>
      <c r="M5" s="10" t="s">
        <v>274</v>
      </c>
      <c r="N5" s="10" t="s">
        <v>275</v>
      </c>
      <c r="O5" s="10" t="s">
        <v>277</v>
      </c>
      <c r="P5" s="10" t="s">
        <v>276</v>
      </c>
      <c r="Q5" s="10" t="s">
        <v>278</v>
      </c>
      <c r="R5" s="10" t="s">
        <v>172</v>
      </c>
      <c r="S5" s="90" t="s">
        <v>64</v>
      </c>
    </row>
    <row r="6" spans="1:19" ht="30" customHeight="1" x14ac:dyDescent="0.3">
      <c r="A6" s="287" t="s">
        <v>62</v>
      </c>
      <c r="B6" s="288"/>
      <c r="C6" s="287"/>
      <c r="D6" s="289"/>
      <c r="E6" s="11">
        <f>SUM(E7:E18)</f>
        <v>34961300</v>
      </c>
      <c r="F6" s="11">
        <f>ROUNDDOWN(SUM(F7:F18),-3)</f>
        <v>419535000</v>
      </c>
      <c r="G6" s="11">
        <f>SUM(G7:G18)</f>
        <v>41953560</v>
      </c>
      <c r="H6" s="11">
        <f>SUM(H8:H18)</f>
        <v>286</v>
      </c>
      <c r="I6" s="11">
        <f>SUM(I8:I18)</f>
        <v>65195480</v>
      </c>
      <c r="J6" s="11">
        <f t="shared" ref="J6:R6" si="0">SUM(J7:J18)</f>
        <v>7200000</v>
      </c>
      <c r="K6" s="11">
        <f>ROUNDDOWN(SUM(K7:K18),-3)</f>
        <v>533884000</v>
      </c>
      <c r="L6" s="73">
        <f>ROUNDDOWN(SUM(L7:L18),-3)</f>
        <v>533884000</v>
      </c>
      <c r="M6" s="11">
        <f t="shared" si="0"/>
        <v>21355320</v>
      </c>
      <c r="N6" s="11">
        <f t="shared" si="0"/>
        <v>1949660</v>
      </c>
      <c r="O6" s="11">
        <f t="shared" si="0"/>
        <v>26694190</v>
      </c>
      <c r="P6" s="11">
        <f t="shared" si="0"/>
        <v>3877520</v>
      </c>
      <c r="Q6" s="11">
        <f t="shared" si="0"/>
        <v>9422810</v>
      </c>
      <c r="R6" s="11">
        <f t="shared" si="0"/>
        <v>44490340</v>
      </c>
      <c r="S6" s="73">
        <f>ROUNDDOWN(SUM(S7:S18),-1)</f>
        <v>107789840</v>
      </c>
    </row>
    <row r="7" spans="1:19" ht="30" customHeight="1" x14ac:dyDescent="0.3">
      <c r="A7" s="13">
        <v>1</v>
      </c>
      <c r="B7" s="13" t="s">
        <v>163</v>
      </c>
      <c r="C7" s="13" t="s">
        <v>76</v>
      </c>
      <c r="D7" s="14">
        <v>23</v>
      </c>
      <c r="E7" s="15">
        <f>급여산출기초1!E6</f>
        <v>4662200</v>
      </c>
      <c r="F7" s="15">
        <f t="shared" ref="F7:F18" si="1">E7*12</f>
        <v>55946400</v>
      </c>
      <c r="G7" s="15">
        <f t="shared" ref="G7:G18" si="2">E7*120%</f>
        <v>5594640</v>
      </c>
      <c r="H7" s="20"/>
      <c r="I7" s="15"/>
      <c r="J7" s="15">
        <f>100000*12</f>
        <v>1200000</v>
      </c>
      <c r="K7" s="74">
        <f t="shared" ref="K7:K18" si="3">F7+G7+I7+J7</f>
        <v>62741040</v>
      </c>
      <c r="L7" s="74">
        <f t="shared" ref="L7:L18" si="4">K7</f>
        <v>62741040</v>
      </c>
      <c r="M7" s="16">
        <f>ROUNDDOWN(L7*4%,-1)</f>
        <v>2509640</v>
      </c>
      <c r="N7" s="16">
        <f>ROUNDDOWN(M7*6%,-1)+55700</f>
        <v>206270</v>
      </c>
      <c r="O7" s="16">
        <f>ROUNDDOWN(L7*5%,-1)</f>
        <v>3137050</v>
      </c>
      <c r="P7" s="16"/>
      <c r="Q7" s="16"/>
      <c r="R7" s="16">
        <f>ROUNDDOWN(K7/12,-1)</f>
        <v>5228420</v>
      </c>
      <c r="S7" s="74">
        <f t="shared" ref="S7:S18" si="5">SUM(M7:R7)</f>
        <v>11081380</v>
      </c>
    </row>
    <row r="8" spans="1:19" ht="30" customHeight="1" x14ac:dyDescent="0.3">
      <c r="A8" s="13">
        <v>2</v>
      </c>
      <c r="B8" s="19" t="s">
        <v>130</v>
      </c>
      <c r="C8" s="19" t="s">
        <v>65</v>
      </c>
      <c r="D8" s="14">
        <v>21</v>
      </c>
      <c r="E8" s="15">
        <f>급여산출기초1!E7</f>
        <v>3800800</v>
      </c>
      <c r="F8" s="15">
        <f t="shared" si="1"/>
        <v>45609600</v>
      </c>
      <c r="G8" s="15">
        <f t="shared" si="2"/>
        <v>4560960</v>
      </c>
      <c r="H8" s="20">
        <v>8</v>
      </c>
      <c r="I8" s="15">
        <f t="shared" ref="I8:I18" si="6">ROUNDDOWN(F8*1/209*1.5*H8,-1)</f>
        <v>2618730</v>
      </c>
      <c r="J8" s="15">
        <f>120000*12</f>
        <v>1440000</v>
      </c>
      <c r="K8" s="74">
        <f t="shared" si="3"/>
        <v>54229290</v>
      </c>
      <c r="L8" s="74">
        <f t="shared" si="4"/>
        <v>54229290</v>
      </c>
      <c r="M8" s="16">
        <f t="shared" ref="M8:M18" si="7">ROUNDDOWN(L8*4%,-1)</f>
        <v>2169170</v>
      </c>
      <c r="N8" s="16">
        <f t="shared" ref="N8:N18" si="8">ROUNDDOWN(M8*6%,-1)+55700</f>
        <v>185850</v>
      </c>
      <c r="O8" s="16">
        <f t="shared" ref="O8:O18" si="9">ROUNDDOWN(L8*5%,-1)</f>
        <v>2711460</v>
      </c>
      <c r="P8" s="16">
        <f>ROUNDDOWN(L8*0.9%,-1)</f>
        <v>488060</v>
      </c>
      <c r="Q8" s="16">
        <f>ROUNDDOWN(L8*2%,-1)</f>
        <v>1084580</v>
      </c>
      <c r="R8" s="16">
        <f t="shared" ref="R8:R18" si="10">ROUNDDOWN(K8/12,-1)</f>
        <v>4519100</v>
      </c>
      <c r="S8" s="74">
        <f t="shared" si="5"/>
        <v>11158220</v>
      </c>
    </row>
    <row r="9" spans="1:19" ht="30" customHeight="1" x14ac:dyDescent="0.3">
      <c r="A9" s="13">
        <v>3</v>
      </c>
      <c r="B9" s="19" t="s">
        <v>56</v>
      </c>
      <c r="C9" s="19" t="s">
        <v>80</v>
      </c>
      <c r="D9" s="14">
        <v>19</v>
      </c>
      <c r="E9" s="15">
        <f>급여산출기초1!E8</f>
        <v>3107400</v>
      </c>
      <c r="F9" s="15">
        <f t="shared" si="1"/>
        <v>37288800</v>
      </c>
      <c r="G9" s="15">
        <f t="shared" si="2"/>
        <v>3728880</v>
      </c>
      <c r="H9" s="20">
        <v>8</v>
      </c>
      <c r="I9" s="15">
        <f t="shared" si="6"/>
        <v>2140980</v>
      </c>
      <c r="J9" s="15">
        <f>40000*12</f>
        <v>480000</v>
      </c>
      <c r="K9" s="74">
        <f t="shared" si="3"/>
        <v>43638660</v>
      </c>
      <c r="L9" s="74">
        <f t="shared" si="4"/>
        <v>43638660</v>
      </c>
      <c r="M9" s="16">
        <f t="shared" si="7"/>
        <v>1745540</v>
      </c>
      <c r="N9" s="16">
        <f t="shared" si="8"/>
        <v>160430</v>
      </c>
      <c r="O9" s="16">
        <f t="shared" si="9"/>
        <v>2181930</v>
      </c>
      <c r="P9" s="16">
        <f t="shared" ref="P9:P18" si="11">ROUNDDOWN(L9*0.813%,-1)</f>
        <v>354780</v>
      </c>
      <c r="Q9" s="16">
        <f t="shared" ref="Q9:Q18" si="12">ROUNDDOWN(L9*2%,-1)</f>
        <v>872770</v>
      </c>
      <c r="R9" s="16">
        <f t="shared" si="10"/>
        <v>3636550</v>
      </c>
      <c r="S9" s="74">
        <f t="shared" si="5"/>
        <v>8952000</v>
      </c>
    </row>
    <row r="10" spans="1:19" ht="30" customHeight="1" x14ac:dyDescent="0.3">
      <c r="A10" s="13">
        <v>4</v>
      </c>
      <c r="B10" s="19" t="s">
        <v>131</v>
      </c>
      <c r="C10" s="19" t="s">
        <v>178</v>
      </c>
      <c r="D10" s="14">
        <v>21</v>
      </c>
      <c r="E10" s="15">
        <f>급여산출기초1!E9</f>
        <v>3196300</v>
      </c>
      <c r="F10" s="15">
        <f t="shared" si="1"/>
        <v>38355600</v>
      </c>
      <c r="G10" s="15">
        <f t="shared" si="2"/>
        <v>3835560</v>
      </c>
      <c r="H10" s="20">
        <v>30</v>
      </c>
      <c r="I10" s="15">
        <f t="shared" si="6"/>
        <v>8258380</v>
      </c>
      <c r="J10" s="15"/>
      <c r="K10" s="74">
        <f t="shared" si="3"/>
        <v>50449540</v>
      </c>
      <c r="L10" s="74">
        <f t="shared" si="4"/>
        <v>50449540</v>
      </c>
      <c r="M10" s="16">
        <f t="shared" si="7"/>
        <v>2017980</v>
      </c>
      <c r="N10" s="16">
        <f t="shared" si="8"/>
        <v>176770</v>
      </c>
      <c r="O10" s="16">
        <f t="shared" si="9"/>
        <v>2522470</v>
      </c>
      <c r="P10" s="16">
        <f t="shared" si="11"/>
        <v>410150</v>
      </c>
      <c r="Q10" s="16">
        <f t="shared" si="12"/>
        <v>1008990</v>
      </c>
      <c r="R10" s="16">
        <f t="shared" si="10"/>
        <v>4204120</v>
      </c>
      <c r="S10" s="74">
        <f t="shared" si="5"/>
        <v>10340480</v>
      </c>
    </row>
    <row r="11" spans="1:19" ht="30" customHeight="1" x14ac:dyDescent="0.3">
      <c r="A11" s="13">
        <v>5</v>
      </c>
      <c r="B11" s="19" t="s">
        <v>132</v>
      </c>
      <c r="C11" s="19" t="s">
        <v>60</v>
      </c>
      <c r="D11" s="14">
        <v>18</v>
      </c>
      <c r="E11" s="15">
        <f>급여산출기초1!E10</f>
        <v>3061300</v>
      </c>
      <c r="F11" s="15">
        <f t="shared" si="1"/>
        <v>36735600</v>
      </c>
      <c r="G11" s="15">
        <f t="shared" si="2"/>
        <v>3673560</v>
      </c>
      <c r="H11" s="20">
        <v>30</v>
      </c>
      <c r="I11" s="15">
        <f t="shared" si="6"/>
        <v>7909570</v>
      </c>
      <c r="J11" s="15">
        <f>80000*12</f>
        <v>960000</v>
      </c>
      <c r="K11" s="74">
        <f t="shared" si="3"/>
        <v>49278730</v>
      </c>
      <c r="L11" s="74">
        <f t="shared" si="4"/>
        <v>49278730</v>
      </c>
      <c r="M11" s="16">
        <f t="shared" si="7"/>
        <v>1971140</v>
      </c>
      <c r="N11" s="16">
        <f t="shared" si="8"/>
        <v>173960</v>
      </c>
      <c r="O11" s="16">
        <f t="shared" si="9"/>
        <v>2463930</v>
      </c>
      <c r="P11" s="16">
        <f t="shared" si="11"/>
        <v>400630</v>
      </c>
      <c r="Q11" s="16">
        <f t="shared" si="12"/>
        <v>985570</v>
      </c>
      <c r="R11" s="16">
        <f t="shared" si="10"/>
        <v>4106560</v>
      </c>
      <c r="S11" s="74">
        <f t="shared" si="5"/>
        <v>10101790</v>
      </c>
    </row>
    <row r="12" spans="1:19" ht="30" customHeight="1" x14ac:dyDescent="0.3">
      <c r="A12" s="13">
        <v>6</v>
      </c>
      <c r="B12" s="19" t="s">
        <v>209</v>
      </c>
      <c r="C12" s="19" t="s">
        <v>77</v>
      </c>
      <c r="D12" s="14">
        <v>11</v>
      </c>
      <c r="E12" s="15">
        <f>급여산출기초1!E11</f>
        <v>2653900</v>
      </c>
      <c r="F12" s="15">
        <f t="shared" si="1"/>
        <v>31846800</v>
      </c>
      <c r="G12" s="15">
        <f t="shared" si="2"/>
        <v>3184680</v>
      </c>
      <c r="H12" s="20">
        <v>30</v>
      </c>
      <c r="I12" s="15">
        <f t="shared" si="6"/>
        <v>6856960</v>
      </c>
      <c r="J12" s="15">
        <v>480000</v>
      </c>
      <c r="K12" s="74">
        <f t="shared" si="3"/>
        <v>42368440</v>
      </c>
      <c r="L12" s="74">
        <f t="shared" si="4"/>
        <v>42368440</v>
      </c>
      <c r="M12" s="16">
        <f t="shared" si="7"/>
        <v>1694730</v>
      </c>
      <c r="N12" s="16">
        <f t="shared" si="8"/>
        <v>157380</v>
      </c>
      <c r="O12" s="16">
        <f t="shared" si="9"/>
        <v>2118420</v>
      </c>
      <c r="P12" s="16">
        <f t="shared" si="11"/>
        <v>344450</v>
      </c>
      <c r="Q12" s="16">
        <f t="shared" si="12"/>
        <v>847360</v>
      </c>
      <c r="R12" s="16">
        <f t="shared" si="10"/>
        <v>3530700</v>
      </c>
      <c r="S12" s="74">
        <f t="shared" si="5"/>
        <v>8693040</v>
      </c>
    </row>
    <row r="13" spans="1:19" ht="30" customHeight="1" x14ac:dyDescent="0.3">
      <c r="A13" s="13">
        <v>7</v>
      </c>
      <c r="B13" s="19" t="s">
        <v>134</v>
      </c>
      <c r="C13" s="19" t="s">
        <v>179</v>
      </c>
      <c r="D13" s="14">
        <v>13</v>
      </c>
      <c r="E13" s="15">
        <f>급여산출기초1!E12</f>
        <v>2776100</v>
      </c>
      <c r="F13" s="15">
        <f t="shared" si="1"/>
        <v>33313200</v>
      </c>
      <c r="G13" s="15">
        <f t="shared" si="2"/>
        <v>3331320</v>
      </c>
      <c r="H13" s="20">
        <v>30</v>
      </c>
      <c r="I13" s="15">
        <f t="shared" si="6"/>
        <v>7172690</v>
      </c>
      <c r="J13" s="15"/>
      <c r="K13" s="74">
        <f t="shared" si="3"/>
        <v>43817210</v>
      </c>
      <c r="L13" s="74">
        <f t="shared" si="4"/>
        <v>43817210</v>
      </c>
      <c r="M13" s="16">
        <f t="shared" si="7"/>
        <v>1752680</v>
      </c>
      <c r="N13" s="16">
        <f t="shared" si="8"/>
        <v>160860</v>
      </c>
      <c r="O13" s="16">
        <f t="shared" si="9"/>
        <v>2190860</v>
      </c>
      <c r="P13" s="16">
        <f t="shared" si="11"/>
        <v>356230</v>
      </c>
      <c r="Q13" s="16">
        <f t="shared" si="12"/>
        <v>876340</v>
      </c>
      <c r="R13" s="16">
        <f t="shared" si="10"/>
        <v>3651430</v>
      </c>
      <c r="S13" s="74">
        <f t="shared" si="5"/>
        <v>8988400</v>
      </c>
    </row>
    <row r="14" spans="1:19" ht="30" customHeight="1" x14ac:dyDescent="0.3">
      <c r="A14" s="13">
        <v>8</v>
      </c>
      <c r="B14" s="19" t="s">
        <v>210</v>
      </c>
      <c r="C14" s="19" t="s">
        <v>180</v>
      </c>
      <c r="D14" s="14">
        <v>10</v>
      </c>
      <c r="E14" s="15">
        <f>급여산출기초1!E13</f>
        <v>2590100</v>
      </c>
      <c r="F14" s="15">
        <f t="shared" si="1"/>
        <v>31081200</v>
      </c>
      <c r="G14" s="15">
        <f t="shared" si="2"/>
        <v>3108120</v>
      </c>
      <c r="H14" s="20">
        <v>30</v>
      </c>
      <c r="I14" s="15">
        <f t="shared" si="6"/>
        <v>6692120</v>
      </c>
      <c r="J14" s="15">
        <f>40000*12</f>
        <v>480000</v>
      </c>
      <c r="K14" s="74">
        <f t="shared" si="3"/>
        <v>41361440</v>
      </c>
      <c r="L14" s="74">
        <f t="shared" si="4"/>
        <v>41361440</v>
      </c>
      <c r="M14" s="16">
        <f t="shared" si="7"/>
        <v>1654450</v>
      </c>
      <c r="N14" s="16">
        <f t="shared" si="8"/>
        <v>154960</v>
      </c>
      <c r="O14" s="16">
        <f t="shared" si="9"/>
        <v>2068070</v>
      </c>
      <c r="P14" s="16">
        <f t="shared" si="11"/>
        <v>336260</v>
      </c>
      <c r="Q14" s="16">
        <f t="shared" si="12"/>
        <v>827220</v>
      </c>
      <c r="R14" s="16">
        <f t="shared" si="10"/>
        <v>3446780</v>
      </c>
      <c r="S14" s="74">
        <f t="shared" si="5"/>
        <v>8487740</v>
      </c>
    </row>
    <row r="15" spans="1:19" ht="30" customHeight="1" x14ac:dyDescent="0.3">
      <c r="A15" s="13">
        <v>9</v>
      </c>
      <c r="B15" s="19" t="s">
        <v>166</v>
      </c>
      <c r="C15" s="19" t="s">
        <v>181</v>
      </c>
      <c r="D15" s="14">
        <v>8</v>
      </c>
      <c r="E15" s="15">
        <f>급여산출기초1!E14</f>
        <v>2444000</v>
      </c>
      <c r="F15" s="15">
        <f t="shared" si="1"/>
        <v>29328000</v>
      </c>
      <c r="G15" s="15">
        <f t="shared" si="2"/>
        <v>2932800</v>
      </c>
      <c r="H15" s="20">
        <v>30</v>
      </c>
      <c r="I15" s="15">
        <f t="shared" si="6"/>
        <v>6314640</v>
      </c>
      <c r="J15" s="15">
        <f>100000*12</f>
        <v>1200000</v>
      </c>
      <c r="K15" s="74">
        <f t="shared" si="3"/>
        <v>39775440</v>
      </c>
      <c r="L15" s="74">
        <f t="shared" si="4"/>
        <v>39775440</v>
      </c>
      <c r="M15" s="16">
        <f t="shared" si="7"/>
        <v>1591010</v>
      </c>
      <c r="N15" s="16">
        <f t="shared" si="8"/>
        <v>151160</v>
      </c>
      <c r="O15" s="16">
        <f t="shared" si="9"/>
        <v>1988770</v>
      </c>
      <c r="P15" s="16">
        <f t="shared" si="11"/>
        <v>323370</v>
      </c>
      <c r="Q15" s="16">
        <f t="shared" si="12"/>
        <v>795500</v>
      </c>
      <c r="R15" s="16">
        <f t="shared" si="10"/>
        <v>3314620</v>
      </c>
      <c r="S15" s="74">
        <f t="shared" si="5"/>
        <v>8164430</v>
      </c>
    </row>
    <row r="16" spans="1:19" ht="30" customHeight="1" x14ac:dyDescent="0.3">
      <c r="A16" s="13">
        <v>10</v>
      </c>
      <c r="B16" s="19" t="s">
        <v>129</v>
      </c>
      <c r="C16" s="19" t="s">
        <v>182</v>
      </c>
      <c r="D16" s="14">
        <v>9</v>
      </c>
      <c r="E16" s="15">
        <f>급여산출기초1!E15</f>
        <v>2524400</v>
      </c>
      <c r="F16" s="15">
        <f t="shared" si="1"/>
        <v>30292800</v>
      </c>
      <c r="G16" s="15">
        <f t="shared" si="2"/>
        <v>3029280</v>
      </c>
      <c r="H16" s="20">
        <v>30</v>
      </c>
      <c r="I16" s="15">
        <f t="shared" si="6"/>
        <v>6522370</v>
      </c>
      <c r="J16" s="15"/>
      <c r="K16" s="74">
        <f t="shared" si="3"/>
        <v>39844450</v>
      </c>
      <c r="L16" s="74">
        <f t="shared" si="4"/>
        <v>39844450</v>
      </c>
      <c r="M16" s="16">
        <f t="shared" si="7"/>
        <v>1593770</v>
      </c>
      <c r="N16" s="16">
        <f t="shared" si="8"/>
        <v>151320</v>
      </c>
      <c r="O16" s="16">
        <f t="shared" si="9"/>
        <v>1992220</v>
      </c>
      <c r="P16" s="16">
        <f t="shared" si="11"/>
        <v>323930</v>
      </c>
      <c r="Q16" s="16">
        <f t="shared" si="12"/>
        <v>796880</v>
      </c>
      <c r="R16" s="16">
        <f t="shared" si="10"/>
        <v>3320370</v>
      </c>
      <c r="S16" s="74">
        <f t="shared" si="5"/>
        <v>8178490</v>
      </c>
    </row>
    <row r="17" spans="1:19" ht="30" customHeight="1" x14ac:dyDescent="0.3">
      <c r="A17" s="13">
        <v>11</v>
      </c>
      <c r="B17" s="19" t="s">
        <v>133</v>
      </c>
      <c r="C17" s="19" t="s">
        <v>183</v>
      </c>
      <c r="D17" s="14">
        <v>4</v>
      </c>
      <c r="E17" s="15">
        <f>급여산출기초1!E16</f>
        <v>2088600</v>
      </c>
      <c r="F17" s="15">
        <f t="shared" si="1"/>
        <v>25063200</v>
      </c>
      <c r="G17" s="15">
        <f t="shared" si="2"/>
        <v>2506320</v>
      </c>
      <c r="H17" s="20">
        <v>30</v>
      </c>
      <c r="I17" s="15">
        <f>급여산출기초1!I16</f>
        <v>5396380</v>
      </c>
      <c r="J17" s="15">
        <f>급여산출기초1!J16</f>
        <v>480000</v>
      </c>
      <c r="K17" s="74">
        <f t="shared" si="3"/>
        <v>33445900</v>
      </c>
      <c r="L17" s="74">
        <f t="shared" si="4"/>
        <v>33445900</v>
      </c>
      <c r="M17" s="16">
        <f t="shared" si="7"/>
        <v>1337830</v>
      </c>
      <c r="N17" s="16">
        <f t="shared" si="8"/>
        <v>135960</v>
      </c>
      <c r="O17" s="16">
        <f t="shared" si="9"/>
        <v>1672290</v>
      </c>
      <c r="P17" s="16">
        <f t="shared" si="11"/>
        <v>271910</v>
      </c>
      <c r="Q17" s="16">
        <f t="shared" si="12"/>
        <v>668910</v>
      </c>
      <c r="R17" s="16">
        <f t="shared" si="10"/>
        <v>2787150</v>
      </c>
      <c r="S17" s="74">
        <f t="shared" si="5"/>
        <v>6874050</v>
      </c>
    </row>
    <row r="18" spans="1:19" ht="30" customHeight="1" x14ac:dyDescent="0.3">
      <c r="A18" s="13">
        <v>12</v>
      </c>
      <c r="B18" s="19" t="s">
        <v>208</v>
      </c>
      <c r="C18" s="19" t="s">
        <v>184</v>
      </c>
      <c r="D18" s="14">
        <v>5</v>
      </c>
      <c r="E18" s="15">
        <f>급여산출기초1!E17</f>
        <v>2056200</v>
      </c>
      <c r="F18" s="15">
        <f t="shared" si="1"/>
        <v>24674400</v>
      </c>
      <c r="G18" s="15">
        <f t="shared" si="2"/>
        <v>2467440</v>
      </c>
      <c r="H18" s="20">
        <v>30</v>
      </c>
      <c r="I18" s="15">
        <f t="shared" si="6"/>
        <v>5312660</v>
      </c>
      <c r="J18" s="15">
        <f>40000*12</f>
        <v>480000</v>
      </c>
      <c r="K18" s="74">
        <f t="shared" si="3"/>
        <v>32934500</v>
      </c>
      <c r="L18" s="74">
        <f t="shared" si="4"/>
        <v>32934500</v>
      </c>
      <c r="M18" s="16">
        <f t="shared" si="7"/>
        <v>1317380</v>
      </c>
      <c r="N18" s="16">
        <f t="shared" si="8"/>
        <v>134740</v>
      </c>
      <c r="O18" s="16">
        <f t="shared" si="9"/>
        <v>1646720</v>
      </c>
      <c r="P18" s="16">
        <f t="shared" si="11"/>
        <v>267750</v>
      </c>
      <c r="Q18" s="16">
        <f t="shared" si="12"/>
        <v>658690</v>
      </c>
      <c r="R18" s="16">
        <f t="shared" si="10"/>
        <v>2744540</v>
      </c>
      <c r="S18" s="74">
        <f t="shared" si="5"/>
        <v>6769820</v>
      </c>
    </row>
    <row r="20" spans="1:19" x14ac:dyDescent="0.3">
      <c r="N20" s="111"/>
    </row>
  </sheetData>
  <mergeCells count="13">
    <mergeCell ref="A1:S1"/>
    <mergeCell ref="K3:K5"/>
    <mergeCell ref="L3:L5"/>
    <mergeCell ref="M3:S4"/>
    <mergeCell ref="G3:G4"/>
    <mergeCell ref="H3:I3"/>
    <mergeCell ref="J3:J4"/>
    <mergeCell ref="A6:D6"/>
    <mergeCell ref="A3:A5"/>
    <mergeCell ref="B3:B5"/>
    <mergeCell ref="D3:D5"/>
    <mergeCell ref="E3:F4"/>
    <mergeCell ref="C3:C5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22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F15" sqref="F15"/>
    </sheetView>
  </sheetViews>
  <sheetFormatPr defaultColWidth="8.875" defaultRowHeight="16.5" x14ac:dyDescent="0.3"/>
  <cols>
    <col min="1" max="1" width="5.75" style="75" customWidth="1"/>
    <col min="2" max="2" width="16.25" style="76" customWidth="1"/>
    <col min="3" max="3" width="9.25" style="76" bestFit="1" customWidth="1"/>
    <col min="4" max="4" width="7.75" style="76" customWidth="1"/>
    <col min="5" max="5" width="15" style="79" customWidth="1"/>
    <col min="6" max="6" width="16.625" style="79" customWidth="1"/>
    <col min="7" max="7" width="14.125" style="79" customWidth="1"/>
    <col min="8" max="8" width="12.125" style="79" customWidth="1"/>
    <col min="9" max="9" width="14.125" style="79" bestFit="1" customWidth="1"/>
    <col min="10" max="11" width="14.5" style="80" bestFit="1" customWidth="1"/>
    <col min="12" max="12" width="15.75" style="81" bestFit="1" customWidth="1"/>
    <col min="13" max="13" width="14.5" style="80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4" t="s">
        <v>233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24.75" customHeight="1" x14ac:dyDescent="0.15">
      <c r="A2" s="293" t="s">
        <v>152</v>
      </c>
      <c r="B2" s="293"/>
      <c r="C2" s="95"/>
      <c r="E2" s="77"/>
      <c r="F2" s="77"/>
      <c r="G2" s="77"/>
      <c r="H2" s="78"/>
      <c r="I2" s="78"/>
      <c r="M2" s="7" t="s">
        <v>119</v>
      </c>
    </row>
    <row r="3" spans="1:13" ht="30" customHeight="1" thickBot="1" x14ac:dyDescent="0.35">
      <c r="A3" s="84" t="s">
        <v>73</v>
      </c>
      <c r="B3" s="84" t="s">
        <v>69</v>
      </c>
      <c r="C3" s="84" t="s">
        <v>68</v>
      </c>
      <c r="D3" s="84" t="s">
        <v>67</v>
      </c>
      <c r="E3" s="83" t="s">
        <v>59</v>
      </c>
      <c r="F3" s="91" t="s">
        <v>154</v>
      </c>
      <c r="G3" s="84" t="s">
        <v>159</v>
      </c>
      <c r="H3" s="84" t="s">
        <v>155</v>
      </c>
      <c r="I3" s="84" t="s">
        <v>140</v>
      </c>
      <c r="J3" s="85" t="s">
        <v>149</v>
      </c>
      <c r="K3" s="85" t="s">
        <v>66</v>
      </c>
      <c r="L3" s="86" t="s">
        <v>51</v>
      </c>
      <c r="M3" s="85" t="s">
        <v>144</v>
      </c>
    </row>
    <row r="4" spans="1:13" ht="30" customHeight="1" thickTop="1" x14ac:dyDescent="0.3">
      <c r="A4" s="292" t="s">
        <v>62</v>
      </c>
      <c r="B4" s="292"/>
      <c r="C4" s="292"/>
      <c r="D4" s="292"/>
      <c r="E4" s="87">
        <f>SUM(E5:E16)</f>
        <v>34961300</v>
      </c>
      <c r="F4" s="87">
        <f>ROUNDDOWN(SUM(F5:F16),-3)</f>
        <v>419535000</v>
      </c>
      <c r="G4" s="87">
        <f>SUM(G5:G16)</f>
        <v>41953560</v>
      </c>
      <c r="H4" s="110">
        <f>SUM(H5:H16)</f>
        <v>7200000</v>
      </c>
      <c r="I4" s="87">
        <f>SUM(I6:I16)</f>
        <v>65195480</v>
      </c>
      <c r="J4" s="87">
        <f>SUM(J5:J16)</f>
        <v>114349040</v>
      </c>
      <c r="K4" s="87">
        <f>ROUNDDOWN(SUM(K5:K16),-3)</f>
        <v>533884000</v>
      </c>
      <c r="L4" s="88">
        <f>SUM(L5:L16)</f>
        <v>74743810</v>
      </c>
      <c r="M4" s="87">
        <f>SUM(M5:M16)</f>
        <v>459140830</v>
      </c>
    </row>
    <row r="5" spans="1:13" ht="30" customHeight="1" x14ac:dyDescent="0.3">
      <c r="A5" s="13">
        <v>1</v>
      </c>
      <c r="B5" s="13" t="s">
        <v>163</v>
      </c>
      <c r="C5" s="13" t="s">
        <v>76</v>
      </c>
      <c r="D5" s="14">
        <v>23</v>
      </c>
      <c r="E5" s="15">
        <f>급여산출기초1!E6</f>
        <v>4662200</v>
      </c>
      <c r="F5" s="15">
        <f t="shared" ref="F5:F16" si="0">E5*12</f>
        <v>55946400</v>
      </c>
      <c r="G5" s="15">
        <f t="shared" ref="G5:G16" si="1">E5*120%</f>
        <v>5594640</v>
      </c>
      <c r="H5" s="15">
        <f>100000*12</f>
        <v>1200000</v>
      </c>
      <c r="J5" s="82">
        <f t="shared" ref="J5:J16" si="2">SUM(G5:I5)</f>
        <v>6794640</v>
      </c>
      <c r="K5" s="82">
        <f t="shared" ref="K5:K16" si="3">F5+J5</f>
        <v>62741040</v>
      </c>
      <c r="L5" s="82">
        <f>ROUNDDOWN(K5*14%,-1)</f>
        <v>8783740</v>
      </c>
      <c r="M5" s="82">
        <f t="shared" ref="M5:M16" si="4">K5-L5</f>
        <v>53957300</v>
      </c>
    </row>
    <row r="6" spans="1:13" ht="30" customHeight="1" x14ac:dyDescent="0.3">
      <c r="A6" s="13">
        <v>2</v>
      </c>
      <c r="B6" s="19" t="s">
        <v>130</v>
      </c>
      <c r="C6" s="19" t="s">
        <v>201</v>
      </c>
      <c r="D6" s="14">
        <v>21</v>
      </c>
      <c r="E6" s="15">
        <f>급여산출기초1!E7</f>
        <v>3800800</v>
      </c>
      <c r="F6" s="15">
        <f t="shared" si="0"/>
        <v>45609600</v>
      </c>
      <c r="G6" s="15">
        <f t="shared" si="1"/>
        <v>4560960</v>
      </c>
      <c r="H6" s="15">
        <f>120000*12</f>
        <v>1440000</v>
      </c>
      <c r="I6" s="15">
        <f t="shared" ref="I6:I7" si="5">ROUNDDOWN(F6*1/209*1.5*8,-1)</f>
        <v>2618730</v>
      </c>
      <c r="J6" s="82">
        <f t="shared" si="2"/>
        <v>8619690</v>
      </c>
      <c r="K6" s="82">
        <f t="shared" si="3"/>
        <v>54229290</v>
      </c>
      <c r="L6" s="82">
        <f t="shared" ref="L6:L16" si="6">ROUNDDOWN(K6*14%,-1)</f>
        <v>7592100</v>
      </c>
      <c r="M6" s="82">
        <f t="shared" si="4"/>
        <v>46637190</v>
      </c>
    </row>
    <row r="7" spans="1:13" ht="30" customHeight="1" x14ac:dyDescent="0.3">
      <c r="A7" s="13">
        <v>3</v>
      </c>
      <c r="B7" s="19" t="s">
        <v>200</v>
      </c>
      <c r="C7" s="19" t="s">
        <v>202</v>
      </c>
      <c r="D7" s="14">
        <v>19</v>
      </c>
      <c r="E7" s="15">
        <f>급여산출기초1!E8</f>
        <v>3107400</v>
      </c>
      <c r="F7" s="15">
        <f t="shared" si="0"/>
        <v>37288800</v>
      </c>
      <c r="G7" s="15">
        <f t="shared" si="1"/>
        <v>3728880</v>
      </c>
      <c r="H7" s="15">
        <f>40000*12</f>
        <v>480000</v>
      </c>
      <c r="I7" s="15">
        <f t="shared" si="5"/>
        <v>2140980</v>
      </c>
      <c r="J7" s="82">
        <f t="shared" si="2"/>
        <v>6349860</v>
      </c>
      <c r="K7" s="82">
        <f t="shared" si="3"/>
        <v>43638660</v>
      </c>
      <c r="L7" s="82">
        <f t="shared" si="6"/>
        <v>6109410</v>
      </c>
      <c r="M7" s="82">
        <f t="shared" si="4"/>
        <v>37529250</v>
      </c>
    </row>
    <row r="8" spans="1:13" ht="30" customHeight="1" x14ac:dyDescent="0.3">
      <c r="A8" s="13">
        <v>4</v>
      </c>
      <c r="B8" s="13" t="s">
        <v>203</v>
      </c>
      <c r="C8" s="13" t="s">
        <v>53</v>
      </c>
      <c r="D8" s="14">
        <v>21</v>
      </c>
      <c r="E8" s="15">
        <f>급여산출기초1!E9</f>
        <v>3196300</v>
      </c>
      <c r="F8" s="15">
        <f t="shared" si="0"/>
        <v>38355600</v>
      </c>
      <c r="G8" s="15">
        <f t="shared" si="1"/>
        <v>3835560</v>
      </c>
      <c r="H8" s="15"/>
      <c r="I8" s="15">
        <f>ROUNDDOWN(F8*1/209*1.5*30,-1)</f>
        <v>8258380</v>
      </c>
      <c r="J8" s="82">
        <f t="shared" si="2"/>
        <v>12093940</v>
      </c>
      <c r="K8" s="82">
        <f t="shared" si="3"/>
        <v>50449540</v>
      </c>
      <c r="L8" s="82">
        <f t="shared" si="6"/>
        <v>7062930</v>
      </c>
      <c r="M8" s="82">
        <f t="shared" si="4"/>
        <v>43386610</v>
      </c>
    </row>
    <row r="9" spans="1:13" ht="30" customHeight="1" x14ac:dyDescent="0.3">
      <c r="A9" s="13">
        <v>5</v>
      </c>
      <c r="B9" s="13" t="s">
        <v>203</v>
      </c>
      <c r="C9" s="19" t="s">
        <v>80</v>
      </c>
      <c r="D9" s="14">
        <v>18</v>
      </c>
      <c r="E9" s="15">
        <f>급여산출기초1!E10</f>
        <v>3061300</v>
      </c>
      <c r="F9" s="15">
        <f t="shared" si="0"/>
        <v>36735600</v>
      </c>
      <c r="G9" s="15">
        <f t="shared" si="1"/>
        <v>3673560</v>
      </c>
      <c r="H9" s="15">
        <f>80000*12</f>
        <v>960000</v>
      </c>
      <c r="I9" s="15">
        <f>ROUNDDOWN(F9*1/209*1.5*30,-1)</f>
        <v>7909570</v>
      </c>
      <c r="J9" s="82">
        <f t="shared" si="2"/>
        <v>12543130</v>
      </c>
      <c r="K9" s="82">
        <f t="shared" si="3"/>
        <v>49278730</v>
      </c>
      <c r="L9" s="82">
        <f t="shared" si="6"/>
        <v>6899020</v>
      </c>
      <c r="M9" s="82">
        <f t="shared" si="4"/>
        <v>42379710</v>
      </c>
    </row>
    <row r="10" spans="1:13" ht="30" customHeight="1" x14ac:dyDescent="0.3">
      <c r="A10" s="13">
        <v>6</v>
      </c>
      <c r="B10" s="13" t="s">
        <v>203</v>
      </c>
      <c r="C10" s="19" t="s">
        <v>77</v>
      </c>
      <c r="D10" s="14">
        <v>11</v>
      </c>
      <c r="E10" s="15">
        <f>급여산출기초1!E11</f>
        <v>2653900</v>
      </c>
      <c r="F10" s="15">
        <f t="shared" si="0"/>
        <v>31846800</v>
      </c>
      <c r="G10" s="15">
        <f t="shared" si="1"/>
        <v>3184680</v>
      </c>
      <c r="H10" s="15">
        <v>480000</v>
      </c>
      <c r="I10" s="15">
        <f t="shared" ref="I10:I16" si="7">ROUNDDOWN(F10*1/209*1.5*30,-1)</f>
        <v>6856960</v>
      </c>
      <c r="J10" s="82">
        <f t="shared" si="2"/>
        <v>10521640</v>
      </c>
      <c r="K10" s="82">
        <f t="shared" si="3"/>
        <v>42368440</v>
      </c>
      <c r="L10" s="82">
        <f t="shared" si="6"/>
        <v>5931580</v>
      </c>
      <c r="M10" s="82">
        <f t="shared" si="4"/>
        <v>36436860</v>
      </c>
    </row>
    <row r="11" spans="1:13" ht="30" customHeight="1" x14ac:dyDescent="0.3">
      <c r="A11" s="13">
        <v>7</v>
      </c>
      <c r="B11" s="13" t="s">
        <v>203</v>
      </c>
      <c r="C11" s="19" t="s">
        <v>183</v>
      </c>
      <c r="D11" s="14">
        <v>13</v>
      </c>
      <c r="E11" s="15">
        <f>급여산출기초1!E12</f>
        <v>2776100</v>
      </c>
      <c r="F11" s="15">
        <f t="shared" si="0"/>
        <v>33313200</v>
      </c>
      <c r="G11" s="15">
        <f t="shared" si="1"/>
        <v>3331320</v>
      </c>
      <c r="H11" s="15"/>
      <c r="I11" s="15">
        <f t="shared" si="7"/>
        <v>7172690</v>
      </c>
      <c r="J11" s="82">
        <f t="shared" si="2"/>
        <v>10504010</v>
      </c>
      <c r="K11" s="82">
        <f t="shared" si="3"/>
        <v>43817210</v>
      </c>
      <c r="L11" s="82">
        <f t="shared" si="6"/>
        <v>6134400</v>
      </c>
      <c r="M11" s="82">
        <f t="shared" si="4"/>
        <v>37682810</v>
      </c>
    </row>
    <row r="12" spans="1:13" ht="30" customHeight="1" x14ac:dyDescent="0.3">
      <c r="A12" s="13">
        <v>8</v>
      </c>
      <c r="B12" s="13" t="s">
        <v>203</v>
      </c>
      <c r="C12" s="19" t="s">
        <v>185</v>
      </c>
      <c r="D12" s="14">
        <v>10</v>
      </c>
      <c r="E12" s="15">
        <f>급여산출기초1!E13</f>
        <v>2590100</v>
      </c>
      <c r="F12" s="15">
        <f t="shared" si="0"/>
        <v>31081200</v>
      </c>
      <c r="G12" s="15">
        <f t="shared" si="1"/>
        <v>3108120</v>
      </c>
      <c r="H12" s="15">
        <f>40000*12</f>
        <v>480000</v>
      </c>
      <c r="I12" s="15">
        <f t="shared" si="7"/>
        <v>6692120</v>
      </c>
      <c r="J12" s="82">
        <f t="shared" si="2"/>
        <v>10280240</v>
      </c>
      <c r="K12" s="82">
        <f t="shared" si="3"/>
        <v>41361440</v>
      </c>
      <c r="L12" s="82">
        <f t="shared" si="6"/>
        <v>5790600</v>
      </c>
      <c r="M12" s="82">
        <f t="shared" si="4"/>
        <v>35570840</v>
      </c>
    </row>
    <row r="13" spans="1:13" ht="30" customHeight="1" x14ac:dyDescent="0.3">
      <c r="A13" s="13">
        <v>9</v>
      </c>
      <c r="B13" s="13" t="s">
        <v>203</v>
      </c>
      <c r="C13" s="19" t="s">
        <v>204</v>
      </c>
      <c r="D13" s="14">
        <v>8</v>
      </c>
      <c r="E13" s="15">
        <f>급여산출기초1!E14</f>
        <v>2444000</v>
      </c>
      <c r="F13" s="15">
        <f t="shared" si="0"/>
        <v>29328000</v>
      </c>
      <c r="G13" s="15">
        <f t="shared" si="1"/>
        <v>2932800</v>
      </c>
      <c r="H13" s="15">
        <f>100000*12</f>
        <v>1200000</v>
      </c>
      <c r="I13" s="15">
        <f t="shared" si="7"/>
        <v>6314640</v>
      </c>
      <c r="J13" s="82">
        <f t="shared" si="2"/>
        <v>10447440</v>
      </c>
      <c r="K13" s="82">
        <f t="shared" si="3"/>
        <v>39775440</v>
      </c>
      <c r="L13" s="82">
        <f t="shared" si="6"/>
        <v>5568560</v>
      </c>
      <c r="M13" s="82">
        <f t="shared" si="4"/>
        <v>34206880</v>
      </c>
    </row>
    <row r="14" spans="1:13" ht="30" customHeight="1" x14ac:dyDescent="0.3">
      <c r="A14" s="13">
        <v>10</v>
      </c>
      <c r="B14" s="13" t="s">
        <v>203</v>
      </c>
      <c r="C14" s="19" t="s">
        <v>205</v>
      </c>
      <c r="D14" s="14">
        <v>9</v>
      </c>
      <c r="E14" s="15">
        <f>급여산출기초1!E15</f>
        <v>2524400</v>
      </c>
      <c r="F14" s="15">
        <f t="shared" si="0"/>
        <v>30292800</v>
      </c>
      <c r="G14" s="15">
        <f t="shared" si="1"/>
        <v>3029280</v>
      </c>
      <c r="H14" s="15"/>
      <c r="I14" s="15">
        <f t="shared" si="7"/>
        <v>6522370</v>
      </c>
      <c r="J14" s="82">
        <f t="shared" si="2"/>
        <v>9551650</v>
      </c>
      <c r="K14" s="82">
        <f t="shared" si="3"/>
        <v>39844450</v>
      </c>
      <c r="L14" s="82">
        <f t="shared" si="6"/>
        <v>5578220</v>
      </c>
      <c r="M14" s="82">
        <f t="shared" si="4"/>
        <v>34266230</v>
      </c>
    </row>
    <row r="15" spans="1:13" ht="30" customHeight="1" x14ac:dyDescent="0.3">
      <c r="A15" s="13">
        <v>11</v>
      </c>
      <c r="B15" s="13" t="s">
        <v>203</v>
      </c>
      <c r="C15" s="19" t="s">
        <v>259</v>
      </c>
      <c r="D15" s="14">
        <v>4</v>
      </c>
      <c r="E15" s="15">
        <f>급여산출기초1!E16</f>
        <v>2088600</v>
      </c>
      <c r="F15" s="15">
        <f t="shared" si="0"/>
        <v>25063200</v>
      </c>
      <c r="G15" s="15">
        <f>급여산출기초1!G16</f>
        <v>2506320</v>
      </c>
      <c r="H15" s="15">
        <f>급여산출기초1!J16</f>
        <v>480000</v>
      </c>
      <c r="I15" s="15">
        <f>급여산출기초1!I16</f>
        <v>5396380</v>
      </c>
      <c r="J15" s="82">
        <f t="shared" si="2"/>
        <v>8382700</v>
      </c>
      <c r="K15" s="82">
        <f t="shared" si="3"/>
        <v>33445900</v>
      </c>
      <c r="L15" s="82">
        <f t="shared" si="6"/>
        <v>4682420</v>
      </c>
      <c r="M15" s="82">
        <f t="shared" si="4"/>
        <v>28763480</v>
      </c>
    </row>
    <row r="16" spans="1:13" ht="30" customHeight="1" x14ac:dyDescent="0.3">
      <c r="A16" s="13">
        <v>12</v>
      </c>
      <c r="B16" s="13" t="s">
        <v>206</v>
      </c>
      <c r="C16" s="19" t="s">
        <v>207</v>
      </c>
      <c r="D16" s="14">
        <v>6</v>
      </c>
      <c r="E16" s="15">
        <f>급여산출기초1!E17</f>
        <v>2056200</v>
      </c>
      <c r="F16" s="15">
        <f t="shared" si="0"/>
        <v>24674400</v>
      </c>
      <c r="G16" s="15">
        <f t="shared" si="1"/>
        <v>2467440</v>
      </c>
      <c r="H16" s="15">
        <f>40000*12</f>
        <v>480000</v>
      </c>
      <c r="I16" s="15">
        <f t="shared" si="7"/>
        <v>5312660</v>
      </c>
      <c r="J16" s="82">
        <f t="shared" si="2"/>
        <v>8260100</v>
      </c>
      <c r="K16" s="82">
        <f t="shared" si="3"/>
        <v>32934500</v>
      </c>
      <c r="L16" s="82">
        <f t="shared" si="6"/>
        <v>4610830</v>
      </c>
      <c r="M16" s="82">
        <f t="shared" si="4"/>
        <v>28323670</v>
      </c>
    </row>
    <row r="17" ht="19.5" customHeight="1" x14ac:dyDescent="0.3"/>
    <row r="18" ht="19.5" customHeight="1" x14ac:dyDescent="0.3"/>
    <row r="19" ht="19.5" customHeight="1" x14ac:dyDescent="0.3"/>
    <row r="20" ht="19.5" customHeight="1" x14ac:dyDescent="0.3"/>
    <row r="21" ht="19.5" customHeight="1" x14ac:dyDescent="0.3"/>
    <row r="22" ht="19.5" customHeight="1" x14ac:dyDescent="0.3"/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6"/>
  <sheetViews>
    <sheetView zoomScaleNormal="100" workbookViewId="0">
      <selection activeCell="B20" sqref="B20"/>
    </sheetView>
  </sheetViews>
  <sheetFormatPr defaultColWidth="8.875" defaultRowHeight="16.5" x14ac:dyDescent="0.3"/>
  <cols>
    <col min="1" max="1" width="19.75" style="29" bestFit="1" customWidth="1"/>
    <col min="2" max="2" width="17.625" style="56" customWidth="1"/>
    <col min="3" max="3" width="19.625" style="29" customWidth="1"/>
    <col min="4" max="4" width="37.5" style="29" bestFit="1" customWidth="1"/>
    <col min="5" max="5" width="10" style="29" customWidth="1"/>
    <col min="6" max="16132" width="9" style="24"/>
  </cols>
  <sheetData>
    <row r="1" spans="1:5 16133:16141" ht="22.5" customHeight="1" x14ac:dyDescent="0.3">
      <c r="A1" s="294" t="s">
        <v>234</v>
      </c>
      <c r="B1" s="294"/>
      <c r="C1" s="294"/>
      <c r="D1" s="294"/>
      <c r="E1" s="294"/>
    </row>
    <row r="2" spans="1:5 16133:16141" ht="17.25" customHeight="1" x14ac:dyDescent="0.25">
      <c r="A2" s="27" t="s">
        <v>152</v>
      </c>
      <c r="B2" s="26"/>
      <c r="C2" s="25"/>
      <c r="D2" s="25"/>
      <c r="E2" s="69" t="s">
        <v>119</v>
      </c>
    </row>
    <row r="3" spans="1:5 16133:16141" ht="21.95" customHeight="1" x14ac:dyDescent="0.3">
      <c r="A3" s="66" t="s">
        <v>63</v>
      </c>
      <c r="B3" s="68" t="s">
        <v>160</v>
      </c>
      <c r="C3" s="66" t="s">
        <v>71</v>
      </c>
      <c r="D3" s="67" t="s">
        <v>162</v>
      </c>
      <c r="E3" s="66" t="s">
        <v>78</v>
      </c>
    </row>
    <row r="4" spans="1:5 16133:16141" ht="21.95" hidden="1" customHeight="1" x14ac:dyDescent="0.3">
      <c r="A4" s="59" t="s">
        <v>164</v>
      </c>
      <c r="B4" s="63" t="s">
        <v>23</v>
      </c>
      <c r="C4" s="62"/>
      <c r="D4" s="64" t="s">
        <v>170</v>
      </c>
      <c r="E4" s="295" t="s">
        <v>239</v>
      </c>
    </row>
    <row r="5" spans="1:5 16133:16141" ht="21.95" customHeight="1" x14ac:dyDescent="0.3">
      <c r="A5" s="59" t="s">
        <v>143</v>
      </c>
      <c r="B5" s="63" t="s">
        <v>237</v>
      </c>
      <c r="C5" s="62">
        <v>53671800</v>
      </c>
      <c r="D5" s="64" t="s">
        <v>238</v>
      </c>
      <c r="E5" s="296"/>
    </row>
    <row r="6" spans="1:5 16133:16141" ht="21.95" customHeight="1" x14ac:dyDescent="0.3">
      <c r="A6" s="59" t="s">
        <v>27</v>
      </c>
      <c r="B6" s="63" t="s">
        <v>31</v>
      </c>
      <c r="C6" s="62">
        <v>499450</v>
      </c>
      <c r="D6" s="60" t="s">
        <v>240</v>
      </c>
      <c r="E6" s="61"/>
    </row>
    <row r="7" spans="1:5 16133:16141" ht="24" x14ac:dyDescent="0.3">
      <c r="A7" s="59" t="s">
        <v>126</v>
      </c>
      <c r="B7" s="63" t="s">
        <v>75</v>
      </c>
      <c r="C7" s="99">
        <v>1081000</v>
      </c>
      <c r="D7" s="100" t="s">
        <v>186</v>
      </c>
      <c r="E7" s="61" t="s">
        <v>177</v>
      </c>
    </row>
    <row r="8" spans="1:5 16133:16141" ht="21.95" customHeight="1" x14ac:dyDescent="0.3">
      <c r="A8" s="299" t="s">
        <v>74</v>
      </c>
      <c r="B8" s="299"/>
      <c r="C8" s="102">
        <f>SUM(C4:C7)</f>
        <v>55252250</v>
      </c>
      <c r="D8" s="71"/>
      <c r="E8" s="70"/>
    </row>
    <row r="9" spans="1:5 16133:16141" ht="9" customHeight="1" x14ac:dyDescent="0.3">
      <c r="A9" s="92"/>
      <c r="B9" s="92"/>
      <c r="C9" s="94"/>
      <c r="D9" s="93"/>
      <c r="E9" s="93"/>
    </row>
    <row r="10" spans="1:5 16133:16141" ht="19.5" customHeight="1" x14ac:dyDescent="0.3">
      <c r="A10" s="294" t="s">
        <v>288</v>
      </c>
      <c r="B10" s="294"/>
      <c r="C10" s="294"/>
      <c r="D10" s="294"/>
      <c r="E10" s="294"/>
    </row>
    <row r="11" spans="1:5 16133:16141" ht="21.95" customHeight="1" x14ac:dyDescent="0.25">
      <c r="A11" s="27" t="s">
        <v>152</v>
      </c>
      <c r="B11" s="26"/>
      <c r="C11" s="25"/>
      <c r="D11" s="25"/>
      <c r="E11" s="69" t="s">
        <v>119</v>
      </c>
    </row>
    <row r="12" spans="1:5 16133:16141" ht="21.95" customHeight="1" x14ac:dyDescent="0.3">
      <c r="A12" s="66" t="s">
        <v>63</v>
      </c>
      <c r="B12" s="68" t="s">
        <v>160</v>
      </c>
      <c r="C12" s="66" t="s">
        <v>71</v>
      </c>
      <c r="D12" s="67" t="s">
        <v>162</v>
      </c>
      <c r="E12" s="66" t="s">
        <v>78</v>
      </c>
    </row>
    <row r="13" spans="1:5 16133:16141" ht="21.95" hidden="1" customHeight="1" x14ac:dyDescent="0.3">
      <c r="A13" s="59" t="s">
        <v>137</v>
      </c>
      <c r="B13" s="63" t="s">
        <v>24</v>
      </c>
      <c r="C13" s="62"/>
      <c r="D13" s="64" t="s">
        <v>81</v>
      </c>
      <c r="E13" s="61"/>
    </row>
    <row r="14" spans="1:5 16133:16141" ht="21.95" customHeight="1" x14ac:dyDescent="0.3">
      <c r="A14" s="59" t="s">
        <v>189</v>
      </c>
      <c r="B14" s="63" t="s">
        <v>190</v>
      </c>
      <c r="C14" s="62">
        <v>4752000</v>
      </c>
      <c r="D14" s="64" t="s">
        <v>246</v>
      </c>
      <c r="E14" s="59" t="s">
        <v>241</v>
      </c>
    </row>
    <row r="15" spans="1:5 16133:16141" s="24" customFormat="1" ht="30.75" customHeight="1" x14ac:dyDescent="0.3">
      <c r="A15" s="59" t="s">
        <v>135</v>
      </c>
      <c r="B15" s="63" t="s">
        <v>29</v>
      </c>
      <c r="C15" s="62">
        <v>5472000</v>
      </c>
      <c r="D15" s="65" t="s">
        <v>243</v>
      </c>
      <c r="E15" s="59" t="s">
        <v>244</v>
      </c>
      <c r="WVM15"/>
      <c r="WVN15"/>
      <c r="WVO15"/>
      <c r="WVP15"/>
      <c r="WVQ15"/>
      <c r="WVR15"/>
      <c r="WVS15"/>
      <c r="WVT15"/>
      <c r="WVU15"/>
    </row>
    <row r="16" spans="1:5 16133:16141" ht="21.75" customHeight="1" x14ac:dyDescent="0.3">
      <c r="A16" s="59" t="s">
        <v>22</v>
      </c>
      <c r="B16" s="63" t="s">
        <v>176</v>
      </c>
      <c r="C16" s="62">
        <v>1080000</v>
      </c>
      <c r="D16" s="65" t="s">
        <v>242</v>
      </c>
      <c r="E16" s="59" t="s">
        <v>245</v>
      </c>
    </row>
    <row r="17" spans="1:5 16133:16141" s="24" customFormat="1" ht="21.95" customHeight="1" x14ac:dyDescent="0.3">
      <c r="A17" s="59" t="s">
        <v>136</v>
      </c>
      <c r="B17" s="63" t="s">
        <v>30</v>
      </c>
      <c r="C17" s="62">
        <v>840000</v>
      </c>
      <c r="D17" s="64" t="s">
        <v>248</v>
      </c>
      <c r="E17" s="59" t="s">
        <v>194</v>
      </c>
      <c r="WVM17"/>
      <c r="WVN17"/>
      <c r="WVO17"/>
      <c r="WVP17"/>
      <c r="WVQ17"/>
      <c r="WVR17"/>
      <c r="WVS17"/>
      <c r="WVT17"/>
      <c r="WVU17"/>
    </row>
    <row r="18" spans="1:5 16133:16141" s="24" customFormat="1" ht="28.5" customHeight="1" x14ac:dyDescent="0.3">
      <c r="A18" s="59" t="s">
        <v>34</v>
      </c>
      <c r="B18" s="63" t="s">
        <v>174</v>
      </c>
      <c r="C18" s="101">
        <v>11520000</v>
      </c>
      <c r="D18" s="65" t="s">
        <v>247</v>
      </c>
      <c r="E18" s="59" t="s">
        <v>195</v>
      </c>
      <c r="WVM18"/>
      <c r="WVN18"/>
      <c r="WVO18"/>
      <c r="WVP18"/>
      <c r="WVQ18"/>
      <c r="WVR18"/>
      <c r="WVS18"/>
      <c r="WVT18"/>
      <c r="WVU18"/>
    </row>
    <row r="19" spans="1:5 16133:16141" ht="24" x14ac:dyDescent="0.3">
      <c r="A19" s="59" t="s">
        <v>95</v>
      </c>
      <c r="B19" s="63" t="s">
        <v>28</v>
      </c>
      <c r="C19" s="62">
        <v>960000</v>
      </c>
      <c r="D19" s="65" t="s">
        <v>249</v>
      </c>
      <c r="E19" s="59" t="s">
        <v>196</v>
      </c>
    </row>
    <row r="20" spans="1:5 16133:16141" ht="27" customHeight="1" x14ac:dyDescent="0.3">
      <c r="A20" s="59" t="s">
        <v>197</v>
      </c>
      <c r="B20" s="63" t="s">
        <v>198</v>
      </c>
      <c r="C20" s="62">
        <v>1320000</v>
      </c>
      <c r="D20" s="100" t="s">
        <v>250</v>
      </c>
      <c r="E20" s="59" t="s">
        <v>191</v>
      </c>
    </row>
    <row r="21" spans="1:5 16133:16141" ht="21.95" customHeight="1" x14ac:dyDescent="0.3">
      <c r="A21" s="59" t="s">
        <v>20</v>
      </c>
      <c r="B21" s="63" t="s">
        <v>173</v>
      </c>
      <c r="C21" s="62">
        <v>1900000</v>
      </c>
      <c r="D21" s="60" t="s">
        <v>251</v>
      </c>
      <c r="E21" s="59" t="s">
        <v>192</v>
      </c>
    </row>
    <row r="22" spans="1:5 16133:16141" s="24" customFormat="1" ht="21.95" customHeight="1" x14ac:dyDescent="0.3">
      <c r="A22" s="59" t="s">
        <v>26</v>
      </c>
      <c r="B22" s="63" t="s">
        <v>21</v>
      </c>
      <c r="C22" s="62">
        <v>400000</v>
      </c>
      <c r="D22" s="60" t="s">
        <v>252</v>
      </c>
      <c r="E22" s="59" t="s">
        <v>193</v>
      </c>
      <c r="WVM22"/>
      <c r="WVN22"/>
      <c r="WVO22"/>
      <c r="WVP22"/>
      <c r="WVQ22"/>
      <c r="WVR22"/>
      <c r="WVS22"/>
      <c r="WVT22"/>
      <c r="WVU22"/>
    </row>
    <row r="23" spans="1:5 16133:16141" s="24" customFormat="1" ht="21.95" hidden="1" customHeight="1" x14ac:dyDescent="0.3">
      <c r="A23" s="59" t="s">
        <v>139</v>
      </c>
      <c r="B23" s="63" t="s">
        <v>169</v>
      </c>
      <c r="C23" s="62"/>
      <c r="D23" s="60"/>
      <c r="E23" s="61"/>
      <c r="WVM23"/>
      <c r="WVN23"/>
      <c r="WVO23"/>
      <c r="WVP23"/>
      <c r="WVQ23"/>
      <c r="WVR23"/>
      <c r="WVS23"/>
      <c r="WVT23"/>
      <c r="WVU23"/>
    </row>
    <row r="24" spans="1:5 16133:16141" ht="21.95" customHeight="1" x14ac:dyDescent="0.3">
      <c r="A24" s="59" t="s">
        <v>151</v>
      </c>
      <c r="B24" s="63" t="s">
        <v>171</v>
      </c>
      <c r="C24" s="62">
        <v>2000000</v>
      </c>
      <c r="D24" s="60"/>
      <c r="E24" s="61"/>
    </row>
    <row r="25" spans="1:5 16133:16141" ht="21.95" customHeight="1" x14ac:dyDescent="0.3">
      <c r="A25" s="298" t="s">
        <v>74</v>
      </c>
      <c r="B25" s="298"/>
      <c r="C25" s="102">
        <f>SUM(C13:C24)</f>
        <v>30244000</v>
      </c>
      <c r="D25" s="60"/>
      <c r="E25" s="59"/>
    </row>
    <row r="26" spans="1:5 16133:16141" s="28" customFormat="1" ht="21.95" customHeight="1" x14ac:dyDescent="0.3">
      <c r="A26" s="297" t="s">
        <v>72</v>
      </c>
      <c r="B26" s="297"/>
      <c r="C26" s="103">
        <f>C8+C25</f>
        <v>85496250</v>
      </c>
      <c r="D26" s="58"/>
      <c r="E26" s="57"/>
    </row>
  </sheetData>
  <mergeCells count="6">
    <mergeCell ref="A1:E1"/>
    <mergeCell ref="E4:E5"/>
    <mergeCell ref="A10:E10"/>
    <mergeCell ref="A26:B26"/>
    <mergeCell ref="A25:B25"/>
    <mergeCell ref="A8:B8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F23" sqref="F23"/>
    </sheetView>
  </sheetViews>
  <sheetFormatPr defaultColWidth="9" defaultRowHeight="13.5" x14ac:dyDescent="0.3"/>
  <cols>
    <col min="1" max="1" width="6.25" style="24" customWidth="1"/>
    <col min="2" max="2" width="15.5" style="29" customWidth="1"/>
    <col min="3" max="3" width="17.75" style="30" customWidth="1"/>
    <col min="4" max="4" width="13.62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4"/>
  </cols>
  <sheetData>
    <row r="1" spans="2:9" ht="29.25" customHeight="1" x14ac:dyDescent="0.3">
      <c r="B1" s="301" t="s">
        <v>235</v>
      </c>
      <c r="C1" s="301"/>
      <c r="D1" s="301"/>
      <c r="E1" s="301"/>
      <c r="F1" s="301"/>
      <c r="G1" s="301"/>
      <c r="H1" s="301"/>
      <c r="I1" s="301"/>
    </row>
    <row r="2" spans="2:9" ht="27.75" customHeight="1" x14ac:dyDescent="0.3">
      <c r="B2" s="55" t="s">
        <v>152</v>
      </c>
      <c r="C2" s="24"/>
      <c r="D2" s="52"/>
      <c r="E2" s="54"/>
      <c r="F2" s="53"/>
      <c r="G2" s="52"/>
      <c r="H2" s="51"/>
      <c r="I2" s="50" t="s">
        <v>119</v>
      </c>
    </row>
    <row r="3" spans="2:9" ht="27" customHeight="1" x14ac:dyDescent="0.3">
      <c r="B3" s="308" t="s">
        <v>63</v>
      </c>
      <c r="C3" s="308"/>
      <c r="D3" s="47" t="s">
        <v>52</v>
      </c>
      <c r="E3" s="49" t="s">
        <v>146</v>
      </c>
      <c r="F3" s="48" t="s">
        <v>157</v>
      </c>
      <c r="G3" s="47" t="s">
        <v>71</v>
      </c>
      <c r="H3" s="46" t="s">
        <v>162</v>
      </c>
      <c r="I3" s="46" t="s">
        <v>78</v>
      </c>
    </row>
    <row r="4" spans="2:9" ht="27" customHeight="1" x14ac:dyDescent="0.3">
      <c r="B4" s="309" t="s">
        <v>3</v>
      </c>
      <c r="C4" s="44" t="s">
        <v>165</v>
      </c>
      <c r="D4" s="107">
        <v>241800</v>
      </c>
      <c r="E4" s="43" t="s">
        <v>70</v>
      </c>
      <c r="F4" s="42">
        <v>35</v>
      </c>
      <c r="G4" s="104">
        <v>101556000</v>
      </c>
      <c r="H4" s="45" t="s">
        <v>254</v>
      </c>
      <c r="I4" s="306" t="s">
        <v>253</v>
      </c>
    </row>
    <row r="5" spans="2:9" ht="27" customHeight="1" x14ac:dyDescent="0.3">
      <c r="B5" s="310"/>
      <c r="C5" s="44" t="s">
        <v>43</v>
      </c>
      <c r="D5" s="107">
        <v>11902</v>
      </c>
      <c r="E5" s="43" t="s">
        <v>70</v>
      </c>
      <c r="F5" s="42">
        <v>35</v>
      </c>
      <c r="G5" s="104">
        <v>4998840</v>
      </c>
      <c r="H5" s="45" t="s">
        <v>255</v>
      </c>
      <c r="I5" s="307"/>
    </row>
    <row r="6" spans="2:9" ht="27" customHeight="1" x14ac:dyDescent="0.3">
      <c r="B6" s="310"/>
      <c r="C6" s="44" t="s">
        <v>153</v>
      </c>
      <c r="D6" s="107">
        <v>2240</v>
      </c>
      <c r="E6" s="43" t="s">
        <v>70</v>
      </c>
      <c r="F6" s="42">
        <v>35</v>
      </c>
      <c r="G6" s="104">
        <v>940800</v>
      </c>
      <c r="H6" s="45" t="s">
        <v>256</v>
      </c>
      <c r="I6" s="307"/>
    </row>
    <row r="7" spans="2:9" ht="27" customHeight="1" x14ac:dyDescent="0.3">
      <c r="B7" s="304" t="s">
        <v>48</v>
      </c>
      <c r="C7" s="304"/>
      <c r="D7" s="108">
        <f>SUM(D4:D6)</f>
        <v>255942</v>
      </c>
      <c r="E7" s="37" t="s">
        <v>70</v>
      </c>
      <c r="F7" s="36"/>
      <c r="G7" s="105">
        <f>SUM(G4:G6)</f>
        <v>107495640</v>
      </c>
      <c r="H7" s="72" t="s">
        <v>199</v>
      </c>
      <c r="I7" s="307"/>
    </row>
    <row r="8" spans="2:9" ht="25.5" customHeight="1" x14ac:dyDescent="0.3">
      <c r="B8" s="302" t="s">
        <v>161</v>
      </c>
      <c r="C8" s="302"/>
      <c r="D8" s="109">
        <v>35394</v>
      </c>
      <c r="E8" s="40" t="s">
        <v>75</v>
      </c>
      <c r="F8" s="39">
        <v>35</v>
      </c>
      <c r="G8" s="104">
        <v>1238790</v>
      </c>
      <c r="H8" s="98" t="s">
        <v>258</v>
      </c>
      <c r="I8" s="41"/>
    </row>
    <row r="9" spans="2:9" ht="25.5" customHeight="1" x14ac:dyDescent="0.3">
      <c r="B9" s="303" t="s">
        <v>32</v>
      </c>
      <c r="C9" s="303"/>
      <c r="D9" s="109">
        <v>36300</v>
      </c>
      <c r="E9" s="40" t="s">
        <v>55</v>
      </c>
      <c r="F9" s="39">
        <v>35</v>
      </c>
      <c r="G9" s="104">
        <v>2541000</v>
      </c>
      <c r="H9" s="98" t="s">
        <v>257</v>
      </c>
      <c r="I9" s="34"/>
    </row>
    <row r="10" spans="2:9" ht="26.25" customHeight="1" x14ac:dyDescent="0.3">
      <c r="B10" s="304" t="s">
        <v>48</v>
      </c>
      <c r="C10" s="304"/>
      <c r="D10" s="38"/>
      <c r="E10" s="37"/>
      <c r="F10" s="36"/>
      <c r="G10" s="105">
        <f>SUM(G8:G9)</f>
        <v>3779790</v>
      </c>
      <c r="H10" s="35"/>
      <c r="I10" s="34"/>
    </row>
    <row r="11" spans="2:9" ht="26.25" customHeight="1" x14ac:dyDescent="0.15">
      <c r="B11" s="305" t="s">
        <v>148</v>
      </c>
      <c r="C11" s="305"/>
      <c r="D11" s="305"/>
      <c r="E11" s="305"/>
      <c r="F11" s="305"/>
      <c r="G11" s="106">
        <f>G7+G10</f>
        <v>111275430</v>
      </c>
      <c r="H11" s="33"/>
      <c r="I11" s="32"/>
    </row>
    <row r="12" spans="2:9" ht="30" customHeight="1" x14ac:dyDescent="0.3">
      <c r="B12" s="300" t="s">
        <v>227</v>
      </c>
      <c r="C12" s="300"/>
      <c r="D12" s="300"/>
      <c r="E12" s="300"/>
      <c r="F12" s="300"/>
      <c r="G12" s="300"/>
      <c r="H12" s="300"/>
      <c r="I12" s="300"/>
    </row>
    <row r="15" spans="2:9" x14ac:dyDescent="0.3">
      <c r="G15" s="31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153</cp:revision>
  <cp:lastPrinted>2019-12-26T06:03:38Z</cp:lastPrinted>
  <dcterms:created xsi:type="dcterms:W3CDTF">2013-12-12T01:03:00Z</dcterms:created>
  <dcterms:modified xsi:type="dcterms:W3CDTF">2020-03-31T06:50:31Z</dcterms:modified>
</cp:coreProperties>
</file>