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7" i="2"/>
  <c r="F18" i="2"/>
  <c r="F19" i="2"/>
  <c r="F20" i="2"/>
  <c r="F21" i="2"/>
  <c r="F22" i="2"/>
  <c r="F23" i="2"/>
  <c r="F30" i="2"/>
  <c r="F31" i="2"/>
  <c r="F32" i="2"/>
  <c r="F33" i="2"/>
  <c r="F34" i="2"/>
  <c r="F35" i="2"/>
  <c r="F36" i="2"/>
  <c r="F38" i="2"/>
  <c r="F39" i="2"/>
  <c r="F40" i="2"/>
  <c r="F41" i="2"/>
  <c r="F42" i="2"/>
  <c r="F43" i="2"/>
  <c r="F45" i="2"/>
  <c r="F7" i="1"/>
  <c r="F8" i="1"/>
  <c r="F9" i="1"/>
  <c r="F10" i="1"/>
  <c r="F11" i="1"/>
  <c r="F21" i="1"/>
  <c r="F22" i="1"/>
  <c r="F23" i="1"/>
  <c r="F24" i="1"/>
  <c r="F25" i="1"/>
  <c r="F27" i="1"/>
  <c r="G31" i="5" l="1"/>
  <c r="S6" i="4" l="1"/>
  <c r="K5" i="3"/>
  <c r="G9" i="7"/>
  <c r="G8" i="7"/>
  <c r="G6" i="7"/>
  <c r="G5" i="7"/>
  <c r="G4" i="7"/>
  <c r="C23" i="6" l="1"/>
  <c r="C22" i="6"/>
  <c r="C21" i="6"/>
  <c r="C20" i="6"/>
  <c r="C19" i="6"/>
  <c r="C18" i="6"/>
  <c r="C17" i="6"/>
  <c r="C15" i="6"/>
  <c r="C16" i="6"/>
  <c r="C7" i="6"/>
  <c r="C6" i="6"/>
  <c r="C5" i="6"/>
  <c r="M4" i="5"/>
  <c r="L4" i="5"/>
  <c r="K4" i="5"/>
  <c r="J4" i="5"/>
  <c r="G4" i="5"/>
  <c r="H4" i="5"/>
  <c r="I4" i="5"/>
  <c r="F4" i="5"/>
  <c r="E4" i="5"/>
  <c r="H18" i="5"/>
  <c r="H19" i="5"/>
  <c r="H20" i="5"/>
  <c r="H17" i="5"/>
  <c r="G18" i="5"/>
  <c r="G19" i="5"/>
  <c r="G20" i="5"/>
  <c r="G17" i="5"/>
  <c r="F18" i="5"/>
  <c r="F19" i="5"/>
  <c r="F20" i="5"/>
  <c r="F17" i="5"/>
  <c r="E19" i="5"/>
  <c r="J19" i="5"/>
  <c r="K19" i="5" s="1"/>
  <c r="I19" i="5"/>
  <c r="E20" i="5"/>
  <c r="J20" i="5"/>
  <c r="I20" i="5"/>
  <c r="R6" i="4"/>
  <c r="N6" i="4"/>
  <c r="O6" i="4"/>
  <c r="P6" i="4"/>
  <c r="Q6" i="4"/>
  <c r="M6" i="4"/>
  <c r="L6" i="4"/>
  <c r="K6" i="4"/>
  <c r="F6" i="4"/>
  <c r="G6" i="4"/>
  <c r="H6" i="4"/>
  <c r="I6" i="4"/>
  <c r="J6" i="4"/>
  <c r="E6" i="4"/>
  <c r="J20" i="4"/>
  <c r="J21" i="4"/>
  <c r="J22" i="4"/>
  <c r="J19" i="4"/>
  <c r="F20" i="4"/>
  <c r="F21" i="4"/>
  <c r="F22" i="4"/>
  <c r="F19" i="4"/>
  <c r="E21" i="4"/>
  <c r="G21" i="4"/>
  <c r="I21" i="4"/>
  <c r="E22" i="4"/>
  <c r="G22" i="4"/>
  <c r="I22" i="4"/>
  <c r="J5" i="3"/>
  <c r="I5" i="3"/>
  <c r="H5" i="3"/>
  <c r="F5" i="3"/>
  <c r="G5" i="3"/>
  <c r="E5" i="3"/>
  <c r="J19" i="3"/>
  <c r="J20" i="3"/>
  <c r="J21" i="3"/>
  <c r="J18" i="3"/>
  <c r="G19" i="3"/>
  <c r="G20" i="3"/>
  <c r="G21" i="3"/>
  <c r="G18" i="3"/>
  <c r="F19" i="3"/>
  <c r="F20" i="3"/>
  <c r="I20" i="3" s="1"/>
  <c r="K20" i="3" s="1"/>
  <c r="F21" i="3"/>
  <c r="K21" i="3" s="1"/>
  <c r="F18" i="3"/>
  <c r="I21" i="3"/>
  <c r="K20" i="5" l="1"/>
  <c r="L20" i="5" s="1"/>
  <c r="M20" i="5" s="1"/>
  <c r="L19" i="5"/>
  <c r="M19" i="5" s="1"/>
  <c r="K21" i="4"/>
  <c r="L21" i="4" s="1"/>
  <c r="R21" i="4" s="1"/>
  <c r="S21" i="4" s="1"/>
  <c r="K22" i="4"/>
  <c r="L22" i="4" s="1"/>
  <c r="R22" i="4" s="1"/>
  <c r="S22" i="4" s="1"/>
  <c r="I8" i="3"/>
  <c r="K8" i="3" s="1"/>
  <c r="I9" i="3"/>
  <c r="I10" i="3"/>
  <c r="K10" i="3" s="1"/>
  <c r="I11" i="3"/>
  <c r="I12" i="3"/>
  <c r="K12" i="3" s="1"/>
  <c r="I13" i="3"/>
  <c r="I14" i="3"/>
  <c r="K14" i="3" s="1"/>
  <c r="I15" i="3"/>
  <c r="I16" i="3"/>
  <c r="K16" i="3" s="1"/>
  <c r="I17" i="3"/>
  <c r="I18" i="3"/>
  <c r="K18" i="3" s="1"/>
  <c r="I19" i="3"/>
  <c r="K19" i="3" s="1"/>
  <c r="K7" i="3"/>
  <c r="K9" i="3"/>
  <c r="K11" i="3"/>
  <c r="K13" i="3"/>
  <c r="K15" i="3"/>
  <c r="K17" i="3"/>
  <c r="K6" i="3"/>
  <c r="E19" i="4"/>
  <c r="G19" i="4"/>
  <c r="E20" i="4"/>
  <c r="E17" i="5"/>
  <c r="E18" i="5"/>
  <c r="G7" i="3"/>
  <c r="G8" i="3"/>
  <c r="G9" i="3"/>
  <c r="G10" i="3"/>
  <c r="G11" i="3"/>
  <c r="G12" i="3"/>
  <c r="G13" i="3"/>
  <c r="G14" i="3"/>
  <c r="G15" i="3"/>
  <c r="G16" i="3"/>
  <c r="G17" i="3"/>
  <c r="G20" i="4"/>
  <c r="G6" i="3"/>
  <c r="I18" i="5" l="1"/>
  <c r="I20" i="4"/>
  <c r="K20" i="4" s="1"/>
  <c r="L20" i="4" s="1"/>
  <c r="R20" i="4" s="1"/>
  <c r="S20" i="4" s="1"/>
  <c r="J18" i="5"/>
  <c r="K18" i="5" s="1"/>
  <c r="L18" i="5" s="1"/>
  <c r="M18" i="5" s="1"/>
  <c r="I17" i="5"/>
  <c r="J17" i="5" s="1"/>
  <c r="K17" i="5" s="1"/>
  <c r="L17" i="5" s="1"/>
  <c r="M17" i="5" s="1"/>
  <c r="I19" i="4"/>
  <c r="K19" i="4" l="1"/>
  <c r="D8" i="1"/>
  <c r="D7" i="1" s="1"/>
  <c r="D12" i="1"/>
  <c r="D13" i="1"/>
  <c r="D18" i="1"/>
  <c r="D17" i="1" s="1"/>
  <c r="D21" i="1"/>
  <c r="D22" i="1"/>
  <c r="D24" i="1"/>
  <c r="D25" i="1"/>
  <c r="L19" i="4" l="1"/>
  <c r="D6" i="1"/>
  <c r="G20" i="2"/>
  <c r="R19" i="4" l="1"/>
  <c r="S19" i="4" s="1"/>
  <c r="E16" i="1"/>
  <c r="E25" i="1"/>
  <c r="E24" i="1" s="1"/>
  <c r="E18" i="1"/>
  <c r="E17" i="1" l="1"/>
  <c r="D60" i="2" l="1"/>
  <c r="D58" i="2"/>
  <c r="D57" i="2" s="1"/>
  <c r="D47" i="2"/>
  <c r="D38" i="2"/>
  <c r="E61" i="2"/>
  <c r="E60" i="2" s="1"/>
  <c r="E58" i="2"/>
  <c r="E57" i="2" s="1"/>
  <c r="E47" i="2"/>
  <c r="E38" i="2"/>
  <c r="E31" i="2" l="1"/>
  <c r="E25" i="2"/>
  <c r="E26" i="2"/>
  <c r="E17" i="2"/>
  <c r="E14" i="2"/>
  <c r="E22" i="1"/>
  <c r="E15" i="1"/>
  <c r="E8" i="2"/>
  <c r="E8" i="1"/>
  <c r="E30" i="2" l="1"/>
  <c r="E21" i="1"/>
  <c r="E12" i="1"/>
  <c r="E13" i="1"/>
  <c r="E7" i="2"/>
  <c r="E7" i="1"/>
  <c r="I12" i="5"/>
  <c r="I14" i="5"/>
  <c r="I16" i="5"/>
  <c r="I5" i="5"/>
  <c r="I14" i="4"/>
  <c r="I16" i="4"/>
  <c r="I18" i="4"/>
  <c r="G8" i="4"/>
  <c r="G6" i="5" s="1"/>
  <c r="G9" i="4"/>
  <c r="G7" i="5" s="1"/>
  <c r="G10" i="4"/>
  <c r="G8" i="5" s="1"/>
  <c r="G11" i="4"/>
  <c r="G9" i="5" s="1"/>
  <c r="G12" i="4"/>
  <c r="G10" i="5" s="1"/>
  <c r="G13" i="4"/>
  <c r="G11" i="5" s="1"/>
  <c r="G14" i="4"/>
  <c r="G12" i="5" s="1"/>
  <c r="G15" i="4"/>
  <c r="G13" i="5" s="1"/>
  <c r="G16" i="4"/>
  <c r="G14" i="5" s="1"/>
  <c r="G17" i="4"/>
  <c r="G15" i="5" s="1"/>
  <c r="G18" i="4"/>
  <c r="G16" i="5" s="1"/>
  <c r="G7" i="4"/>
  <c r="G5" i="5" s="1"/>
  <c r="F9" i="3"/>
  <c r="J14" i="5" l="1"/>
  <c r="I8" i="5"/>
  <c r="J8" i="5" s="1"/>
  <c r="I10" i="4"/>
  <c r="E6" i="1"/>
  <c r="E6" i="2"/>
  <c r="D31" i="2"/>
  <c r="F6" i="1" l="1"/>
  <c r="D25" i="2"/>
  <c r="D26" i="2"/>
  <c r="D17" i="2"/>
  <c r="D14" i="2"/>
  <c r="D8" i="2"/>
  <c r="D7" i="2" l="1"/>
  <c r="D30" i="2"/>
  <c r="H13" i="5"/>
  <c r="H12" i="5"/>
  <c r="J12" i="5" s="1"/>
  <c r="H5" i="5"/>
  <c r="J14" i="4"/>
  <c r="J15" i="4"/>
  <c r="J7" i="4"/>
  <c r="J5" i="5" l="1"/>
  <c r="D6" i="2"/>
  <c r="F6" i="2" s="1"/>
  <c r="J16" i="3" l="1"/>
  <c r="J14" i="3"/>
  <c r="J13" i="3"/>
  <c r="J11" i="3"/>
  <c r="J6" i="3"/>
  <c r="H15" i="5" l="1"/>
  <c r="E6" i="5"/>
  <c r="E7" i="5"/>
  <c r="E8" i="5"/>
  <c r="E9" i="5"/>
  <c r="E10" i="5"/>
  <c r="E11" i="5"/>
  <c r="E12" i="5"/>
  <c r="E13" i="5"/>
  <c r="E14" i="5"/>
  <c r="E15" i="5"/>
  <c r="E16" i="5"/>
  <c r="E5" i="5"/>
  <c r="J17" i="4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F15" i="3"/>
  <c r="F14" i="3"/>
  <c r="F13" i="3"/>
  <c r="F12" i="3"/>
  <c r="F11" i="3"/>
  <c r="F10" i="3"/>
  <c r="F8" i="3"/>
  <c r="F7" i="3"/>
  <c r="F6" i="3"/>
  <c r="I7" i="3" l="1"/>
  <c r="I6" i="5" l="1"/>
  <c r="I8" i="4"/>
  <c r="I17" i="4"/>
  <c r="I15" i="5"/>
  <c r="J15" i="5" s="1"/>
  <c r="I12" i="4"/>
  <c r="I10" i="5"/>
  <c r="J10" i="5" s="1"/>
  <c r="I11" i="4"/>
  <c r="I9" i="5"/>
  <c r="J9" i="5" s="1"/>
  <c r="I9" i="4"/>
  <c r="I7" i="5"/>
  <c r="G11" i="1"/>
  <c r="J17" i="3" l="1"/>
  <c r="J8" i="3"/>
  <c r="J7" i="3"/>
  <c r="J18" i="4"/>
  <c r="J9" i="4"/>
  <c r="J8" i="4"/>
  <c r="F18" i="4"/>
  <c r="F17" i="4"/>
  <c r="K17" i="4" s="1"/>
  <c r="F16" i="4"/>
  <c r="K16" i="4" s="1"/>
  <c r="F15" i="4"/>
  <c r="F14" i="4"/>
  <c r="K14" i="4" s="1"/>
  <c r="F13" i="4"/>
  <c r="F12" i="4"/>
  <c r="K12" i="4" s="1"/>
  <c r="F11" i="4"/>
  <c r="K11" i="4" s="1"/>
  <c r="F10" i="4"/>
  <c r="K10" i="4" s="1"/>
  <c r="F9" i="4"/>
  <c r="F8" i="4"/>
  <c r="K8" i="4" s="1"/>
  <c r="F7" i="4"/>
  <c r="K7" i="4" s="1"/>
  <c r="F15" i="5"/>
  <c r="H16" i="5"/>
  <c r="J16" i="5" s="1"/>
  <c r="H7" i="5"/>
  <c r="J7" i="5" s="1"/>
  <c r="H6" i="5"/>
  <c r="F7" i="5"/>
  <c r="K9" i="4" l="1"/>
  <c r="K18" i="4"/>
  <c r="J6" i="5"/>
  <c r="K15" i="5"/>
  <c r="L15" i="5" s="1"/>
  <c r="K7" i="5"/>
  <c r="L7" i="5" s="1"/>
  <c r="M15" i="5" l="1"/>
  <c r="M7" i="5"/>
  <c r="G10" i="7" l="1"/>
  <c r="D7" i="7"/>
  <c r="G7" i="7"/>
  <c r="C27" i="6"/>
  <c r="C9" i="6"/>
  <c r="F16" i="5"/>
  <c r="F14" i="5"/>
  <c r="F13" i="5"/>
  <c r="F12" i="5"/>
  <c r="F11" i="5"/>
  <c r="F10" i="5"/>
  <c r="F9" i="5"/>
  <c r="F8" i="5"/>
  <c r="F6" i="5"/>
  <c r="F5" i="5"/>
  <c r="L17" i="3"/>
  <c r="P17" i="3" s="1"/>
  <c r="L16" i="3"/>
  <c r="P16" i="3" s="1"/>
  <c r="L15" i="3"/>
  <c r="P15" i="3" s="1"/>
  <c r="L14" i="3"/>
  <c r="P14" i="3" s="1"/>
  <c r="L13" i="3"/>
  <c r="P13" i="3" s="1"/>
  <c r="L12" i="3"/>
  <c r="Q12" i="3" s="1"/>
  <c r="L11" i="3"/>
  <c r="P11" i="3" s="1"/>
  <c r="L10" i="3"/>
  <c r="P10" i="3" s="1"/>
  <c r="L9" i="3"/>
  <c r="Q9" i="3" s="1"/>
  <c r="L7" i="3"/>
  <c r="Q7" i="3" s="1"/>
  <c r="L6" i="3"/>
  <c r="P6" i="3" s="1"/>
  <c r="P5" i="3" s="1"/>
  <c r="I13" i="5" l="1"/>
  <c r="J13" i="5" s="1"/>
  <c r="K13" i="5" s="1"/>
  <c r="L13" i="5" s="1"/>
  <c r="I15" i="4"/>
  <c r="K15" i="4" s="1"/>
  <c r="R14" i="3"/>
  <c r="I13" i="4"/>
  <c r="K13" i="4" s="1"/>
  <c r="I11" i="5"/>
  <c r="R12" i="3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S10" i="3"/>
  <c r="U10" i="3" s="1"/>
  <c r="Q14" i="3"/>
  <c r="M15" i="3"/>
  <c r="Q17" i="3"/>
  <c r="K5" i="5"/>
  <c r="K8" i="5"/>
  <c r="L8" i="5" s="1"/>
  <c r="K9" i="5"/>
  <c r="L9" i="5" s="1"/>
  <c r="K12" i="5"/>
  <c r="L12" i="5" s="1"/>
  <c r="K14" i="5"/>
  <c r="L14" i="5" s="1"/>
  <c r="K16" i="5"/>
  <c r="L16" i="5" s="1"/>
  <c r="R15" i="3"/>
  <c r="R9" i="3"/>
  <c r="R7" i="3"/>
  <c r="C28" i="6"/>
  <c r="G11" i="7"/>
  <c r="N6" i="3"/>
  <c r="N5" i="3" s="1"/>
  <c r="O7" i="3"/>
  <c r="O9" i="3"/>
  <c r="R11" i="3"/>
  <c r="M11" i="3"/>
  <c r="Q11" i="3"/>
  <c r="O12" i="3"/>
  <c r="M13" i="3"/>
  <c r="Q13" i="3"/>
  <c r="N14" i="3"/>
  <c r="R16" i="3"/>
  <c r="M16" i="3"/>
  <c r="Q16" i="3"/>
  <c r="N17" i="3"/>
  <c r="L11" i="4"/>
  <c r="R11" i="4" s="1"/>
  <c r="P7" i="3"/>
  <c r="P9" i="3"/>
  <c r="R10" i="3"/>
  <c r="P12" i="3"/>
  <c r="R13" i="3"/>
  <c r="M7" i="3"/>
  <c r="M9" i="3"/>
  <c r="O11" i="3"/>
  <c r="M12" i="3"/>
  <c r="O13" i="3"/>
  <c r="O16" i="3"/>
  <c r="K6" i="5"/>
  <c r="L6" i="5" s="1"/>
  <c r="K10" i="5"/>
  <c r="L10" i="5" s="1"/>
  <c r="J11" i="5" l="1"/>
  <c r="M5" i="3"/>
  <c r="L5" i="5"/>
  <c r="T17" i="3"/>
  <c r="R17" i="3"/>
  <c r="T14" i="3"/>
  <c r="R6" i="3"/>
  <c r="R5" i="3" s="1"/>
  <c r="L10" i="4"/>
  <c r="R10" i="4" s="1"/>
  <c r="S5" i="3"/>
  <c r="U6" i="3"/>
  <c r="U5" i="3" s="1"/>
  <c r="T10" i="3"/>
  <c r="N15" i="3"/>
  <c r="S15" i="3"/>
  <c r="L13" i="4"/>
  <c r="R13" i="4" s="1"/>
  <c r="M14" i="5"/>
  <c r="L7" i="4"/>
  <c r="R7" i="4" s="1"/>
  <c r="M16" i="5"/>
  <c r="L18" i="4"/>
  <c r="R18" i="4" s="1"/>
  <c r="L12" i="4"/>
  <c r="R12" i="4" s="1"/>
  <c r="L17" i="4"/>
  <c r="R17" i="4" s="1"/>
  <c r="L8" i="4"/>
  <c r="R8" i="4" s="1"/>
  <c r="L9" i="4"/>
  <c r="R9" i="4" s="1"/>
  <c r="M13" i="5"/>
  <c r="M10" i="5"/>
  <c r="M6" i="5"/>
  <c r="L15" i="4"/>
  <c r="R15" i="4" s="1"/>
  <c r="L14" i="4"/>
  <c r="R14" i="4" s="1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R16" i="4" s="1"/>
  <c r="M12" i="5"/>
  <c r="N9" i="3"/>
  <c r="S9" i="3"/>
  <c r="K11" i="5" l="1"/>
  <c r="M5" i="5"/>
  <c r="U15" i="3"/>
  <c r="T15" i="3"/>
  <c r="U9" i="3"/>
  <c r="T9" i="3"/>
  <c r="T16" i="3"/>
  <c r="U16" i="3"/>
  <c r="U12" i="3"/>
  <c r="T12" i="3"/>
  <c r="T11" i="3"/>
  <c r="U11" i="3"/>
  <c r="T13" i="3"/>
  <c r="U13" i="3"/>
  <c r="S11" i="4"/>
  <c r="U7" i="3"/>
  <c r="T7" i="3"/>
  <c r="L11" i="5" l="1"/>
  <c r="S10" i="4"/>
  <c r="S13" i="4"/>
  <c r="S18" i="4"/>
  <c r="S12" i="4"/>
  <c r="S17" i="4"/>
  <c r="S15" i="4"/>
  <c r="S14" i="4"/>
  <c r="S8" i="4"/>
  <c r="S16" i="4"/>
  <c r="S9" i="4"/>
  <c r="M11" i="5" l="1"/>
  <c r="S7" i="4"/>
</calcChain>
</file>

<file path=xl/sharedStrings.xml><?xml version="1.0" encoding="utf-8"?>
<sst xmlns="http://schemas.openxmlformats.org/spreadsheetml/2006/main" count="432" uniqueCount="315">
  <si>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</si>
  <si>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</si>
  <si>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</si>
  <si>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</si>
  <si>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</si>
  <si>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</si>
  <si>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</si>
  <si>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</si>
  <si>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</si>
  <si>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</si>
  <si>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</si>
  <si>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</si>
  <si>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</si>
  <si>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</si>
  <si>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</si>
  <si>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</si>
  <si>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</si>
  <si>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</si>
  <si>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</si>
  <si>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</si>
  <si>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</si>
  <si>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</si>
  <si>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</si>
  <si>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</si>
  <si>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</si>
  <si>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</si>
  <si>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</si>
  <si>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</si>
  <si>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</si>
  <si>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24,000/년1인당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</si>
  <si>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</si>
  <si>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</si>
  <si>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</si>
  <si>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</si>
  <si>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</si>
  <si>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</si>
  <si>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</si>
  <si>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</si>
  <si>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</si>
  <si>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</si>
  <si>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</si>
  <si>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</si>
  <si>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</si>
  <si>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</si>
  <si>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</si>
  <si>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</si>
  <si>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</si>
  <si>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</si>
  <si>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</si>
  <si>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</si>
  <si>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</si>
  <si>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</si>
  <si>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</si>
  <si>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</si>
  <si>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</si>
  <si>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</si>
  <si>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</si>
  <si>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</si>
  <si>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</si>
  <si>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</si>
  <si>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</si>
  <si>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</si>
  <si>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</si>
  <si>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</si>
  <si>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</si>
  <si>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</si>
  <si>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</si>
  <si>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</si>
  <si>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</si>
  <si>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</si>
  <si>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</si>
  <si>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</si>
  <si>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</si>
  <si>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</si>
  <si>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</si>
  <si>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</si>
  <si>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</si>
  <si>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</si>
  <si>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</si>
  <si>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</si>
  <si>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</si>
  <si>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</si>
  <si>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</si>
  <si>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</si>
  <si>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</si>
  <si>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</si>
  <si>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</si>
  <si>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</si>
  <si>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</si>
  <si>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</si>
  <si>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</si>
  <si>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</si>
  <si>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</si>
  <si>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</si>
  <si>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</si>
  <si>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</si>
  <si>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</si>
  <si>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</si>
  <si>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</si>
  <si>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</si>
  <si>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</si>
  <si>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</si>
  <si>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</si>
  <si>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</si>
  <si>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</si>
  <si>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</si>
  <si>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</si>
  <si>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</si>
  <si>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</si>
  <si>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</si>
  <si>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</si>
  <si>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</si>
  <si>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</si>
  <si>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</si>
  <si>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</si>
  <si>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</si>
  <si>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</si>
  <si>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</si>
  <si>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</si>
  <si>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</si>
  <si>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</si>
  <si>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</si>
  <si>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</si>
  <si>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</si>
  <si>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</si>
  <si>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</si>
  <si>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</si>
  <si>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</si>
  <si>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</si>
  <si>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</si>
  <si>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</si>
  <si>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</si>
  <si>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</si>
  <si>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</si>
  <si>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</si>
  <si>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</si>
  <si>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</si>
  <si>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</si>
  <si>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</si>
  <si>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</si>
  <si>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</si>
  <si>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</si>
  <si>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</si>
  <si>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</si>
  <si>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</si>
  <si>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</si>
  <si>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</si>
  <si>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</si>
  <si>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</si>
  <si>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</si>
  <si>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</si>
  <si>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</si>
  <si>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</si>
  <si>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</si>
  <si>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</si>
  <si>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</si>
  <si>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</si>
  <si>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</si>
  <si>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</si>
  <si>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</si>
  <si>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</si>
  <si>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</si>
  <si>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</si>
  <si>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</si>
  <si>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</si>
  <si>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</si>
  <si>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</si>
  <si>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</si>
  <si>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</si>
  <si>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</si>
  <si>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</si>
  <si>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</si>
  <si>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</si>
  <si>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</si>
  <si>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전년도 준함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</si>
  <si>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</si>
  <si>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</si>
  <si>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</si>
  <si>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</si>
  <si>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</si>
  <si>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</si>
  <si>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</si>
  <si>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</si>
  <si>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퇴직연금수수료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</si>
  <si>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</si>
  <si>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</si>
  <si>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</si>
  <si>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</si>
  <si>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</si>
  <si>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220,393*30명*12개월=166,617,108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</si>
  <si>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</si>
  <si>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</si>
  <si>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</si>
  <si>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</si>
  <si>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</si>
  <si>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</si>
  <si>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</si>
  <si>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</si>
  <si>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</si>
  <si>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</si>
  <si>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</si>
  <si>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</si>
  <si>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후원금 각종비품구입
300,000*12월=3,600,000원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</si>
  <si>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</si>
  <si>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</si>
  <si>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</si>
  <si>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</si>
  <si>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시설비     10,000,000(건물유지보수)
시설환경개선비 3,858,000</t>
    <phoneticPr fontId="18" type="noConversion"/>
  </si>
  <si>
    <t>후원금이자</t>
    <phoneticPr fontId="18" type="noConversion"/>
  </si>
  <si>
    <t>이지환</t>
    <phoneticPr fontId="18" type="noConversion"/>
  </si>
  <si>
    <t>30명*1,600원*240일=11,520,000원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</si>
  <si>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</si>
  <si>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</si>
  <si>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</si>
  <si>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</si>
  <si>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</si>
  <si>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</si>
  <si>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38,000/월1인당</t>
    <phoneticPr fontId="18" type="noConversion"/>
  </si>
  <si>
    <t>26,000/월1인당</t>
    <phoneticPr fontId="18" type="noConversion"/>
  </si>
  <si>
    <t>20,000/월1인당</t>
    <phoneticPr fontId="18" type="noConversion"/>
  </si>
  <si>
    <t>30명</t>
    <phoneticPr fontId="18" type="noConversion"/>
  </si>
  <si>
    <t>* 2020년도 기초생활보장 지침 중 시설생계급여 등 지원기준</t>
    <phoneticPr fontId="18" type="noConversion"/>
  </si>
  <si>
    <t>국민연금
(4.5%)</t>
    <phoneticPr fontId="18" type="noConversion"/>
  </si>
  <si>
    <t>건강보험
(3.335%)</t>
    <phoneticPr fontId="18" type="noConversion"/>
  </si>
  <si>
    <t>장기
요양보험
(10.25%)</t>
    <phoneticPr fontId="18" type="noConversion"/>
  </si>
  <si>
    <t>고용보험
(0.8%)</t>
    <phoneticPr fontId="18" type="noConversion"/>
  </si>
  <si>
    <t xml:space="preserve"> </t>
    <phoneticPr fontId="18" type="noConversion"/>
  </si>
  <si>
    <t xml:space="preserve">예체능  95,083*12월= 1,141,000
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</si>
  <si>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</si>
  <si>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r>
      <rPr>
        <b/>
        <sz val="10"/>
        <color rgb="FF0000FF"/>
        <rFont val="굴림체"/>
        <family val="3"/>
        <charset val="129"/>
      </rPr>
      <t>개인결연(개인후원,어린이재단,디딤씨앗)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아동연합회 경유 지정후원금</t>
    </r>
    <r>
      <rPr>
        <b/>
        <sz val="10"/>
        <color rgb="FF000000"/>
        <rFont val="굴림체"/>
        <family val="3"/>
        <charset val="129"/>
      </rPr>
      <t xml:space="preserve">
지역사회 지정후원금</t>
    </r>
    <phoneticPr fontId="18" type="noConversion"/>
  </si>
  <si>
    <t xml:space="preserve">2021년도 성애원(시설) 세입 세출예산(안) </t>
    <phoneticPr fontId="18" type="noConversion"/>
  </si>
  <si>
    <r>
      <t xml:space="preserve">전화요금         150,000*12월=  1,800,000
</t>
    </r>
    <r>
      <rPr>
        <b/>
        <sz val="9"/>
        <color rgb="FFFF0000"/>
        <rFont val="굴림체"/>
        <family val="3"/>
        <charset val="129"/>
      </rPr>
      <t>전기요금         700,000*12월= 8,400,000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상하수도요금     500,000*12월=  6,000,000</t>
    </r>
    <r>
      <rPr>
        <b/>
        <sz val="9"/>
        <rFont val="굴림체"/>
        <family val="3"/>
        <charset val="129"/>
      </rPr>
      <t xml:space="preserve">
인터넷및키폰요금 150,000*12월=  1,800,000
TV사용료        150,000*12월=  1,800,000
우편요금         30,000*12월=    360,000
쓰레기봉투구입   100,000*12월= 1,200,000
납부필증         100,000*12월= 1,200,000
계                           22,560,000</t>
    </r>
    <phoneticPr fontId="18" type="noConversion"/>
  </si>
  <si>
    <r>
      <t xml:space="preserve">기관홍보용 달력제작 2,215*200부=443,000
기관홍보용 선물제작 5,000*150개=600,000
기타 운영경비                  400,000
</t>
    </r>
    <r>
      <rPr>
        <b/>
        <sz val="9"/>
        <color rgb="FFFF0000"/>
        <rFont val="굴림체"/>
        <family val="3"/>
        <charset val="129"/>
      </rPr>
      <t>계                           1,443,000</t>
    </r>
    <phoneticPr fontId="18" type="noConversion"/>
  </si>
  <si>
    <t>2021년 종사자 인건비 산출내역</t>
    <phoneticPr fontId="18" type="noConversion"/>
  </si>
  <si>
    <t>2021년 종사자 사회보험 산출내역</t>
    <phoneticPr fontId="18" type="noConversion"/>
  </si>
  <si>
    <t>2021년 임직원 보수일람표</t>
    <phoneticPr fontId="18" type="noConversion"/>
  </si>
  <si>
    <t>2021년 성애원(시설) 경상보조금 관리운영비 산출내역(국시비)</t>
    <phoneticPr fontId="18" type="noConversion"/>
  </si>
  <si>
    <t>2021년 성애원(시설) 관리운영비 산출내역(시비)</t>
    <phoneticPr fontId="18" type="noConversion"/>
  </si>
  <si>
    <t xml:space="preserve">2021년 성애원(시설) 경상보조금 생계비(국시비) 산출내역 </t>
    <phoneticPr fontId="18" type="noConversion"/>
  </si>
  <si>
    <t>전년도</t>
    <phoneticPr fontId="18" type="noConversion"/>
  </si>
  <si>
    <t>당해년도</t>
    <phoneticPr fontId="18" type="noConversion"/>
  </si>
  <si>
    <t>생활지도원</t>
    <phoneticPr fontId="18" type="noConversion"/>
  </si>
  <si>
    <t>홍길동</t>
    <phoneticPr fontId="18" type="noConversion"/>
  </si>
  <si>
    <t>홍길동1</t>
    <phoneticPr fontId="18" type="noConversion"/>
  </si>
  <si>
    <t>생활지도원9</t>
    <phoneticPr fontId="18" type="noConversion"/>
  </si>
  <si>
    <t>생활지도원10</t>
  </si>
  <si>
    <t>홍길동3</t>
    <phoneticPr fontId="18" type="noConversion"/>
  </si>
  <si>
    <t>홍길동4</t>
    <phoneticPr fontId="18" type="noConversion"/>
  </si>
  <si>
    <t>생활지도원11</t>
  </si>
  <si>
    <t>생활지도원12</t>
  </si>
  <si>
    <t>135,000/월</t>
    <phoneticPr fontId="18" type="noConversion"/>
  </si>
  <si>
    <t>30명*135,000원*12월=48,600,000원</t>
    <phoneticPr fontId="18" type="noConversion"/>
  </si>
  <si>
    <t>30명기준</t>
    <phoneticPr fontId="18" type="noConversion"/>
  </si>
  <si>
    <t>30명*14,270원*년1회=428,100원</t>
    <phoneticPr fontId="18" type="noConversion"/>
  </si>
  <si>
    <t>고등학생15명*38,000원*12월=5,016,000원</t>
    <phoneticPr fontId="18" type="noConversion"/>
  </si>
  <si>
    <t>15명</t>
    <phoneticPr fontId="18" type="noConversion"/>
  </si>
  <si>
    <t>13명</t>
    <phoneticPr fontId="18" type="noConversion"/>
  </si>
  <si>
    <t>초등학생 2명*20,000원*12월=1,120,000원</t>
    <phoneticPr fontId="18" type="noConversion"/>
  </si>
  <si>
    <t>중학생  13명*26,000원*12월=5,928,000원</t>
    <phoneticPr fontId="18" type="noConversion"/>
  </si>
  <si>
    <t>2명</t>
    <phoneticPr fontId="18" type="noConversion"/>
  </si>
  <si>
    <t>3세이상 30명*24,000원*년1회=720,000원</t>
    <phoneticPr fontId="18" type="noConversion"/>
  </si>
  <si>
    <t>30명</t>
    <phoneticPr fontId="18" type="noConversion"/>
  </si>
  <si>
    <t>중2학년   3명*120,000원=360,000원
고2학년   7명*120,000원=840,000원</t>
    <phoneticPr fontId="18" type="noConversion"/>
  </si>
  <si>
    <t>10명</t>
    <phoneticPr fontId="18" type="noConversion"/>
  </si>
  <si>
    <t>중 학 생 13명*100,000원*년1회=1,300,000원</t>
    <phoneticPr fontId="18" type="noConversion"/>
  </si>
  <si>
    <t>고등학생 15명*120,000원*년1회=1,800,000원</t>
    <phoneticPr fontId="18" type="noConversion"/>
  </si>
  <si>
    <t>초등학생  2명*80,000원*년1회=160,000원</t>
    <phoneticPr fontId="18" type="noConversion"/>
  </si>
  <si>
    <t>246,450*30명*12개월=91,602,000원</t>
    <phoneticPr fontId="18" type="noConversion"/>
  </si>
  <si>
    <t>11,555*30명*12개월=4,159,800원</t>
    <phoneticPr fontId="18" type="noConversion"/>
  </si>
  <si>
    <t>2,240*30명*12개월=806,400원</t>
    <phoneticPr fontId="18" type="noConversion"/>
  </si>
  <si>
    <t>주부식비
1식
2,740원
2,740*93식
월 1인당
254,820원</t>
    <phoneticPr fontId="18" type="noConversion"/>
  </si>
  <si>
    <t>38,000원*30명*1회=1,140,000원</t>
    <phoneticPr fontId="18" type="noConversion"/>
  </si>
  <si>
    <t>38,500원*30명*2회=2,310,000원</t>
    <phoneticPr fontId="18" type="noConversion"/>
  </si>
  <si>
    <t>기본급     499,380,000</t>
    <phoneticPr fontId="18" type="noConversion"/>
  </si>
  <si>
    <t>퇴직금및퇴직적립금 53,425,066</t>
    <phoneticPr fontId="18" type="noConversion"/>
  </si>
  <si>
    <t>국민건강보험 21,430,000
장기요양보험  2,630,000
국민연금보험 29,040,000
산재보험      5,160,000
고용보험      6,710,000
계           64,970,000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</si>
  <si>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</si>
  <si>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</si>
  <si>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r>
      <rPr>
        <b/>
        <sz val="9"/>
        <color rgb="FFFF0000"/>
        <rFont val="굴림체"/>
        <family val="3"/>
        <charset val="129"/>
      </rPr>
      <t>아동급식비  246,450*28명*12개월=91,602,000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 xml:space="preserve">종사자급식비 12명*70,000원*12월=10,080,000 </t>
    </r>
    <r>
      <rPr>
        <b/>
        <sz val="9"/>
        <rFont val="굴림체"/>
        <family val="3"/>
        <charset val="129"/>
      </rPr>
      <t xml:space="preserve">
종사자급식비 4명*60,000원*12월 = 2,880,000
실습생급식비  2명*30,000*2회=       120,000
춘계부식,김장비14,270원*30명*1회=   428,100
</t>
    </r>
    <r>
      <rPr>
        <b/>
        <sz val="9"/>
        <color rgb="FFFF0000"/>
        <rFont val="굴림체"/>
        <family val="3"/>
        <charset val="129"/>
      </rPr>
      <t>월동대책비     38,000*30명*1회=   1,140,000
특별위로비     38,500*30명*2회=   2,310,000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후원금                           7,910,000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  116,470,100</t>
    </r>
    <phoneticPr fontId="18" type="noConversion"/>
  </si>
  <si>
    <r>
      <rPr>
        <b/>
        <sz val="9"/>
        <color rgb="FFFF0000"/>
        <rFont val="굴림체"/>
        <family val="3"/>
        <charset val="129"/>
      </rPr>
      <t>취사연료비   2,240*30명*12월=  806,400</t>
    </r>
    <r>
      <rPr>
        <b/>
        <sz val="9"/>
        <rFont val="굴림체"/>
        <family val="3"/>
        <charset val="129"/>
      </rPr>
      <t xml:space="preserve">
종사자급식비 1,000*16명*12월=  192,000
후원금,이자                    350,000
</t>
    </r>
    <r>
      <rPr>
        <b/>
        <sz val="9"/>
        <color rgb="FFFF0000"/>
        <rFont val="굴림체"/>
        <family val="3"/>
        <charset val="129"/>
      </rPr>
      <t>심야전기     800,000*12월=   9,600,000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10,948,400</t>
    </r>
    <phoneticPr fontId="18" type="noConversion"/>
  </si>
  <si>
    <r>
      <rPr>
        <b/>
        <sz val="9"/>
        <color rgb="FFFF0000"/>
        <rFont val="굴림체"/>
        <family val="3"/>
        <charset val="129"/>
      </rPr>
      <t>중1,2,3학년 1,600*240일     11,520,000</t>
    </r>
    <r>
      <rPr>
        <b/>
        <sz val="9"/>
        <rFont val="굴림체"/>
        <family val="3"/>
        <charset val="129"/>
      </rPr>
      <t xml:space="preserve">
아동교통비                   1,920,000
</t>
    </r>
    <r>
      <rPr>
        <b/>
        <sz val="9"/>
        <color rgb="FFFF0000"/>
        <rFont val="굴림체"/>
        <family val="3"/>
        <charset val="129"/>
      </rPr>
      <t>계                          13,440,000</t>
    </r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</si>
  <si>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</si>
  <si>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아동이미용비      월100,000*12월=1,200,000
아동목욕비      16명*7,000*12월= 1,400,000
계                              2,600,000</t>
    <phoneticPr fontId="18" type="noConversion"/>
  </si>
  <si>
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기타                         2,000,000
계                          16,684,000 </t>
    <phoneticPr fontId="18" type="noConversion"/>
  </si>
  <si>
    <r>
      <t xml:space="preserve">연합회행사지원비            </t>
    </r>
    <r>
      <rPr>
        <b/>
        <sz val="9"/>
        <color rgb="FFFF0000"/>
        <rFont val="굴림체"/>
        <family val="3"/>
        <charset val="129"/>
      </rPr>
      <t>3,630,000</t>
    </r>
    <r>
      <rPr>
        <b/>
        <sz val="9"/>
        <rFont val="굴림체"/>
        <family val="3"/>
        <charset val="129"/>
      </rPr>
      <t xml:space="preserve">
어린이날행사비  30명*10,000원=300,000
성탄파티       30명*10,000원=300,000
계                         4,230,000</t>
    </r>
    <phoneticPr fontId="18" type="noConversion"/>
  </si>
  <si>
    <t>개인결연금 30명 50,000,000</t>
    <phoneticPr fontId="18" type="noConversion"/>
  </si>
  <si>
    <t>중등학생부교재비 28명*50,000*년1회 1,400,000
초등부교재비      2명*50,000*년1회  100,000학습보조비   고15명*120,000*년1회  1,800,000
             중13명*10000*년1회   1,300,000
             초2명*80,000*년1회     160,000
기타도서구입비   100,000*4분기=      400,000
계                                5,160,000</t>
    <phoneticPr fontId="18" type="noConversion"/>
  </si>
  <si>
    <t>미술학원        100,000*12월= 1,200,000
씽크빅          100,000*12월= 1,200,000
기타            300,000*12월= 3,600,000
계                            6,000,000</t>
    <phoneticPr fontId="18" type="noConversion"/>
  </si>
  <si>
    <r>
      <t xml:space="preserve">아동필요용품 10,000*30명*12월=    3,600,000
아동핸드폰요금 15,000원*30명*12월=5,400,000
</t>
    </r>
    <r>
      <rPr>
        <b/>
        <sz val="9"/>
        <color rgb="FFFF0000"/>
        <rFont val="굴림체"/>
        <family val="3"/>
        <charset val="129"/>
      </rPr>
      <t>아동용돈 30명기준                11,376,000</t>
    </r>
    <r>
      <rPr>
        <b/>
        <sz val="9"/>
        <rFont val="굴림체"/>
        <family val="3"/>
        <charset val="129"/>
      </rPr>
      <t xml:space="preserve">
아동용돈(후원금)70,000*30명*12월=25,200,000
하계수련비        24,000*30명=    720,000
기타                             720,000
</t>
    </r>
    <r>
      <rPr>
        <b/>
        <sz val="9"/>
        <color rgb="FFFF0000"/>
        <rFont val="굴림체"/>
        <family val="3"/>
        <charset val="129"/>
      </rPr>
      <t>계                             47,016,000</t>
    </r>
    <phoneticPr fontId="18" type="noConversion"/>
  </si>
  <si>
    <t>연 찬 회 : 137,930*3인=413,790원
사생대회 : 11,621*10인=116,210원
축구대회 : 100,000*10인=1,000,000원
체육대회 :  70,000*30인=2,100,000원</t>
    <phoneticPr fontId="18" type="noConversion"/>
  </si>
  <si>
    <t>방역비</t>
    <phoneticPr fontId="18" type="noConversion"/>
  </si>
  <si>
    <t xml:space="preserve">코로나19 예방 방역물품구입비 </t>
    <phoneticPr fontId="18" type="noConversion"/>
  </si>
  <si>
    <r>
      <rPr>
        <b/>
        <sz val="9"/>
        <color rgb="FFFF0000"/>
        <rFont val="굴림체"/>
        <family val="3"/>
        <charset val="129"/>
      </rPr>
      <t>건물유지비용     500,000*12월=6,000,000</t>
    </r>
    <r>
      <rPr>
        <b/>
        <sz val="9"/>
        <rFont val="굴림체"/>
        <family val="3"/>
        <charset val="129"/>
      </rPr>
      <t xml:space="preserve">
전기안전관리비    88,000*12월=1,056,000                   소방안전관리비   143,000*12월=1,716,000
승강기안전관리비  99,000*12월=1,188,000  
장비유지비용    500,000*12월= 6,000,000
</t>
    </r>
    <r>
      <rPr>
        <b/>
        <sz val="9"/>
        <color rgb="FFFF0000"/>
        <rFont val="굴림체"/>
        <family val="3"/>
        <charset val="129"/>
      </rPr>
      <t>기타                         5,500,000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21,460,000</t>
    </r>
    <phoneticPr fontId="18" type="noConversion"/>
  </si>
  <si>
    <t>방역비</t>
    <phoneticPr fontId="18" type="noConversion"/>
  </si>
  <si>
    <t>지자체예산</t>
    <phoneticPr fontId="18" type="noConversion"/>
  </si>
  <si>
    <t>전년도 예산 기준</t>
    <phoneticPr fontId="18" type="noConversion"/>
  </si>
  <si>
    <t>인건비     759,395,000
생계비      99,885,000
운영비      48,600,000
춘계부식비     428,100
행사지원금   3,630,000
계         911,938100</t>
    <phoneticPr fontId="18" type="noConversion"/>
  </si>
  <si>
    <t>아동용돈       11,376,000
하계수련비        720,000
교통비         11,520,000
학습보조비      3,260,000
수학여행비      1,200,000
안전관리비      2,000,000
종사자복지포인트 1,600,000
방역비            518,000
계             30,476,000</t>
    <phoneticPr fontId="18" type="noConversion"/>
  </si>
  <si>
    <r>
      <t xml:space="preserve">신원보증보험        15,000*2명= 30,000
상해보험(아동+종사자+여행자)    400,000
화재보험                       500,000
</t>
    </r>
    <r>
      <rPr>
        <b/>
        <sz val="9"/>
        <color rgb="FFFF0000"/>
        <rFont val="굴림체"/>
        <family val="3"/>
        <charset val="129"/>
      </rPr>
      <t>자동차보험(스타렉스3164)        700,000
자동차보험(스타렉스8394)        700,000</t>
    </r>
    <r>
      <rPr>
        <b/>
        <sz val="9"/>
        <rFont val="굴림체"/>
        <family val="3"/>
        <charset val="129"/>
      </rPr>
      <t xml:space="preserve">
자동차보험(모닝9214)            600,000
자동차보험(스파크6742)          600,000
영업배상책임보험                600,000
자동차세                       800,000
환경개선부담금                1,000,000
아동연합회비960,000*4분기     3,840,000
</t>
    </r>
    <r>
      <rPr>
        <b/>
        <sz val="9"/>
        <color rgb="FFFF0000"/>
        <rFont val="굴림체"/>
        <family val="3"/>
        <charset val="129"/>
      </rPr>
      <t>계                           9,770,000</t>
    </r>
    <phoneticPr fontId="18" type="noConversion"/>
  </si>
  <si>
    <t>비지정후원금  108,500,000
지정후원금      1,500,000</t>
    <phoneticPr fontId="18" type="noConversion"/>
  </si>
  <si>
    <t>명절휴가비   49,938,000
시간외수당   81,222,790
가족수당     10,560,000
계          141,720,790</t>
    <phoneticPr fontId="18" type="noConversion"/>
  </si>
  <si>
    <r>
      <rPr>
        <b/>
        <sz val="9"/>
        <color rgb="FFFF0000"/>
        <rFont val="굴림체"/>
        <family val="3"/>
        <charset val="129"/>
      </rPr>
      <t>피복비 11,185*30명*12월 =  4,026,600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후원금 29,223*30명*12월 = 10,520,280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14,546,880</t>
    </r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</si>
  <si>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</si>
  <si>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진료비 및 약제비     50,000*12월= 600,000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4,382,000</t>
    <phoneticPr fontId="18" type="noConversion"/>
  </si>
  <si>
    <t>종사자복지포인트</t>
    <phoneticPr fontId="18" type="noConversion"/>
  </si>
  <si>
    <t>복지포인트 16명*100,000원</t>
    <phoneticPr fontId="18" type="noConversion"/>
  </si>
  <si>
    <t>종사자복지포인트</t>
    <phoneticPr fontId="18" type="noConversion"/>
  </si>
  <si>
    <t>100,000/년1회</t>
    <phoneticPr fontId="18" type="noConversion"/>
  </si>
  <si>
    <t>16명*100,000원*년1회=1,600,000원</t>
    <phoneticPr fontId="18" type="noConversion"/>
  </si>
  <si>
    <t>16명기준</t>
    <phoneticPr fontId="18" type="noConversion"/>
  </si>
  <si>
    <t>전년도 예산 대비 17.3% 증액</t>
    <phoneticPr fontId="18" type="noConversion"/>
  </si>
  <si>
    <t xml:space="preserve">종사자급식비(생활지도원)
              2명*70,000*12월  10,080,000
종사자급식비(사무실)4명*60,000원 2,880,000
계                             12,960,000 </t>
    <phoneticPr fontId="18" type="noConversion"/>
  </si>
  <si>
    <r>
      <rPr>
        <b/>
        <sz val="10"/>
        <color rgb="FFFF0000"/>
        <rFont val="굴림체"/>
        <family val="3"/>
        <charset val="129"/>
      </rPr>
      <t>실습생급식비 2*30,000*2회       120,000
실습비      2명*70,000*2회      280,000</t>
    </r>
    <r>
      <rPr>
        <b/>
        <sz val="10"/>
        <color rgb="FF000000"/>
        <rFont val="굴림체"/>
        <family val="3"/>
        <charset val="129"/>
      </rPr>
      <t xml:space="preserve">
기타                            100,000
계                              </t>
    </r>
    <r>
      <rPr>
        <b/>
        <sz val="10"/>
        <color rgb="FFFF0000"/>
        <rFont val="굴림체"/>
        <family val="3"/>
        <charset val="129"/>
      </rPr>
      <t>500,000</t>
    </r>
    <phoneticPr fontId="18" type="noConversion"/>
  </si>
  <si>
    <t xml:space="preserve">2021년도 성애원(시설) 세입 세출예산(안) </t>
    <phoneticPr fontId="18" type="noConversion"/>
  </si>
  <si>
    <t>세입부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</si>
</sst>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1" fillId="0" borderId="0" applyFont="0" applyFill="0" applyBorder="0" applyAlignment="0" applyProtection="0">
      <alignment vertical="center"/>
    </xf>
  </cellStyleXfs>
  <cellXfs count="307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5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20" fillId="2" borderId="1" xfId="5" applyNumberFormat="1" applyFont="1" applyFill="1" applyBorder="1" applyAlignment="1">
      <alignment horizontal="center" vertical="center"/>
    </xf>
    <xf numFmtId="41" fontId="17" fillId="0" borderId="0" xfId="1">
      <alignment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3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41" fontId="4" fillId="0" borderId="40" xfId="5" applyNumberFormat="1" applyFont="1" applyBorder="1" applyAlignment="1">
      <alignment vertical="center"/>
    </xf>
    <xf numFmtId="41" fontId="4" fillId="0" borderId="5" xfId="5" applyNumberFormat="1" applyFont="1" applyBorder="1" applyAlignment="1">
      <alignment vertical="center"/>
    </xf>
    <xf numFmtId="41" fontId="22" fillId="0" borderId="4" xfId="5" applyNumberFormat="1" applyFont="1" applyBorder="1" applyAlignment="1">
      <alignment horizontal="center" vertical="center"/>
    </xf>
    <xf numFmtId="41" fontId="4" fillId="0" borderId="4" xfId="5" applyNumberFormat="1" applyFont="1" applyBorder="1" applyAlignment="1">
      <alignment horizontal="center" vertical="center"/>
    </xf>
    <xf numFmtId="0" fontId="23" fillId="0" borderId="28" xfId="3" applyNumberFormat="1" applyFont="1" applyFill="1" applyBorder="1" applyAlignment="1">
      <alignment horizontal="left" vertical="center" wrapText="1"/>
    </xf>
    <xf numFmtId="0" fontId="4" fillId="2" borderId="29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41" fontId="4" fillId="0" borderId="2" xfId="5" applyNumberFormat="1" applyFont="1" applyBorder="1" applyAlignment="1">
      <alignment vertical="center"/>
    </xf>
    <xf numFmtId="41" fontId="4" fillId="0" borderId="1" xfId="5" applyNumberFormat="1" applyFont="1" applyBorder="1" applyAlignment="1">
      <alignment vertical="center"/>
    </xf>
    <xf numFmtId="0" fontId="4" fillId="2" borderId="34" xfId="3" applyNumberFormat="1" applyFont="1" applyFill="1" applyBorder="1" applyAlignment="1">
      <alignment horizontal="center" vertical="center"/>
    </xf>
    <xf numFmtId="41" fontId="4" fillId="0" borderId="1" xfId="5" applyNumberFormat="1" applyFont="1" applyBorder="1">
      <alignment vertical="center"/>
    </xf>
    <xf numFmtId="41" fontId="4" fillId="0" borderId="3" xfId="5" applyNumberFormat="1" applyFont="1" applyBorder="1">
      <alignment vertical="center"/>
    </xf>
    <xf numFmtId="0" fontId="24" fillId="0" borderId="30" xfId="3" applyNumberFormat="1" applyFont="1" applyBorder="1" applyAlignment="1">
      <alignment horizontal="left" vertical="center" wrapText="1"/>
    </xf>
    <xf numFmtId="41" fontId="4" fillId="0" borderId="0" xfId="5" applyNumberFormat="1" applyFont="1" applyBorder="1">
      <alignment vertical="center"/>
    </xf>
    <xf numFmtId="0" fontId="23" fillId="0" borderId="30" xfId="3" applyNumberFormat="1" applyFont="1" applyBorder="1" applyAlignment="1">
      <alignment horizontal="left" vertical="center" wrapText="1"/>
    </xf>
    <xf numFmtId="0" fontId="23" fillId="0" borderId="30" xfId="3" applyNumberFormat="1" applyFont="1" applyBorder="1" applyAlignment="1">
      <alignment horizontal="left" vertical="center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41" fontId="4" fillId="0" borderId="2" xfId="3" applyNumberFormat="1" applyFont="1" applyFill="1" applyBorder="1" applyAlignment="1" applyProtection="1">
      <alignment vertical="center"/>
    </xf>
    <xf numFmtId="0" fontId="23" fillId="0" borderId="30" xfId="3" applyNumberFormat="1" applyFont="1" applyFill="1" applyBorder="1" applyAlignment="1" applyProtection="1">
      <alignment horizontal="left" vertical="center" wrapText="1"/>
    </xf>
    <xf numFmtId="0" fontId="4" fillId="2" borderId="27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7" xfId="3" applyNumberFormat="1" applyFont="1" applyFill="1" applyBorder="1" applyAlignment="1" applyProtection="1">
      <alignment horizontal="center" vertical="center"/>
    </xf>
    <xf numFmtId="0" fontId="4" fillId="2" borderId="5" xfId="3" applyNumberFormat="1" applyFont="1" applyFill="1" applyBorder="1" applyAlignment="1">
      <alignment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7" fillId="0" borderId="30" xfId="3" applyNumberFormat="1" applyFont="1" applyFill="1" applyBorder="1" applyAlignment="1" applyProtection="1">
      <alignment horizontal="left" vertical="center" wrapText="1"/>
    </xf>
    <xf numFmtId="41" fontId="4" fillId="0" borderId="3" xfId="3" applyNumberFormat="1" applyFont="1" applyFill="1" applyBorder="1" applyAlignment="1" applyProtection="1">
      <alignment vertical="center"/>
    </xf>
    <xf numFmtId="41" fontId="22" fillId="0" borderId="1" xfId="5" applyNumberFormat="1" applyFont="1" applyBorder="1" applyAlignment="1">
      <alignment horizontal="center" vertical="center"/>
    </xf>
    <xf numFmtId="0" fontId="2" fillId="0" borderId="30" xfId="3" applyNumberFormat="1" applyFont="1" applyFill="1" applyBorder="1" applyAlignment="1" applyProtection="1">
      <alignment horizontal="left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23" fillId="0" borderId="28" xfId="3" applyNumberFormat="1" applyFont="1" applyBorder="1" applyAlignment="1">
      <alignment horizontal="left" vertical="center" wrapText="1"/>
    </xf>
    <xf numFmtId="41" fontId="4" fillId="0" borderId="15" xfId="5" applyNumberFormat="1" applyFont="1" applyBorder="1" applyAlignment="1">
      <alignment vertical="center"/>
    </xf>
    <xf numFmtId="41" fontId="4" fillId="0" borderId="1" xfId="3" applyNumberFormat="1" applyFont="1" applyFill="1" applyBorder="1" applyAlignment="1" applyProtection="1">
      <alignment vertical="center"/>
    </xf>
    <xf numFmtId="0" fontId="4" fillId="2" borderId="1" xfId="3" applyNumberFormat="1" applyFont="1" applyFill="1" applyBorder="1" applyAlignment="1">
      <alignment horizontal="center" vertical="center" wrapText="1"/>
    </xf>
    <xf numFmtId="0" fontId="23" fillId="0" borderId="38" xfId="3" applyNumberFormat="1" applyFont="1" applyBorder="1" applyAlignment="1">
      <alignment horizontal="left" vertical="center" wrapText="1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37" xfId="3" applyNumberFormat="1" applyFont="1" applyFill="1" applyBorder="1" applyAlignment="1">
      <alignment horizontal="center" vertical="center"/>
    </xf>
    <xf numFmtId="0" fontId="4" fillId="2" borderId="19" xfId="3" applyNumberFormat="1" applyFont="1" applyFill="1" applyBorder="1" applyAlignment="1">
      <alignment horizontal="center" vertical="center"/>
    </xf>
    <xf numFmtId="41" fontId="4" fillId="0" borderId="41" xfId="5" applyNumberFormat="1" applyFont="1" applyBorder="1">
      <alignment vertical="center"/>
    </xf>
    <xf numFmtId="41" fontId="4" fillId="0" borderId="19" xfId="5" applyNumberFormat="1" applyFont="1" applyBorder="1">
      <alignment vertical="center"/>
    </xf>
    <xf numFmtId="41" fontId="4" fillId="0" borderId="19" xfId="3" applyNumberFormat="1" applyFont="1" applyFill="1" applyBorder="1" applyAlignment="1" applyProtection="1">
      <alignment vertical="center"/>
    </xf>
    <xf numFmtId="0" fontId="23" fillId="0" borderId="31" xfId="3" applyNumberFormat="1" applyFont="1" applyBorder="1" applyAlignment="1">
      <alignment horizontal="left" vertical="center" wrapText="1"/>
    </xf>
    <xf numFmtId="0" fontId="29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9" fillId="2" borderId="0" xfId="5" applyNumberFormat="1" applyFont="1" applyFill="1" applyAlignment="1">
      <alignment horizontal="center" vertical="center"/>
    </xf>
    <xf numFmtId="0" fontId="30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4" fillId="2" borderId="0" xfId="3" applyNumberFormat="1" applyFont="1" applyFill="1" applyAlignment="1">
      <alignment horizontal="center" vertical="center"/>
    </xf>
    <xf numFmtId="41" fontId="29" fillId="2" borderId="0" xfId="3" applyNumberFormat="1" applyFont="1" applyFill="1" applyAlignment="1">
      <alignment horizontal="center" vertical="center"/>
    </xf>
    <xf numFmtId="0" fontId="29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3" fillId="0" borderId="8" xfId="5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2" fillId="2" borderId="5" xfId="5" applyNumberFormat="1" applyFont="1" applyFill="1" applyBorder="1" applyAlignment="1">
      <alignment horizontal="center" vertical="center"/>
    </xf>
    <xf numFmtId="41" fontId="22" fillId="2" borderId="5" xfId="5" applyNumberFormat="1" applyFont="1" applyFill="1" applyBorder="1" applyAlignment="1" applyProtection="1">
      <alignment horizontal="center" vertical="center"/>
    </xf>
    <xf numFmtId="41" fontId="22" fillId="0" borderId="5" xfId="3" applyNumberFormat="1" applyFont="1" applyFill="1" applyBorder="1" applyAlignment="1" applyProtection="1">
      <alignment vertical="center"/>
    </xf>
    <xf numFmtId="0" fontId="24" fillId="0" borderId="28" xfId="3" applyNumberFormat="1" applyFont="1" applyFill="1" applyBorder="1" applyAlignment="1">
      <alignment horizontal="left" vertical="center" wrapText="1"/>
    </xf>
    <xf numFmtId="41" fontId="22" fillId="2" borderId="1" xfId="5" applyNumberFormat="1" applyFont="1" applyFill="1" applyBorder="1" applyAlignment="1">
      <alignment horizontal="center" vertical="center"/>
    </xf>
    <xf numFmtId="41" fontId="22" fillId="0" borderId="1" xfId="3" applyNumberFormat="1" applyFont="1" applyFill="1" applyBorder="1" applyAlignment="1" applyProtection="1">
      <alignment vertical="center"/>
    </xf>
    <xf numFmtId="0" fontId="31" fillId="0" borderId="30" xfId="3" applyNumberFormat="1" applyFont="1" applyBorder="1" applyAlignment="1">
      <alignment horizontal="left" vertical="center"/>
    </xf>
    <xf numFmtId="0" fontId="22" fillId="2" borderId="29" xfId="3" applyNumberFormat="1" applyFont="1" applyFill="1" applyBorder="1" applyAlignment="1">
      <alignment horizontal="center" vertical="center"/>
    </xf>
    <xf numFmtId="0" fontId="22" fillId="2" borderId="1" xfId="3" applyNumberFormat="1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3" fontId="32" fillId="0" borderId="1" xfId="3" applyNumberFormat="1" applyFont="1" applyBorder="1">
      <alignment vertical="center"/>
    </xf>
    <xf numFmtId="0" fontId="33" fillId="0" borderId="30" xfId="3" applyNumberFormat="1" applyFont="1" applyBorder="1" applyAlignment="1">
      <alignment horizontal="left" vertical="center" wrapText="1"/>
    </xf>
    <xf numFmtId="176" fontId="4" fillId="0" borderId="1" xfId="3" applyNumberFormat="1" applyFont="1" applyBorder="1">
      <alignment vertical="center"/>
    </xf>
    <xf numFmtId="0" fontId="22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31" fillId="0" borderId="30" xfId="3" applyNumberFormat="1" applyFont="1" applyBorder="1" applyAlignment="1">
      <alignment horizontal="left" vertical="center" wrapText="1"/>
    </xf>
    <xf numFmtId="0" fontId="22" fillId="2" borderId="1" xfId="3" applyNumberFormat="1" applyFont="1" applyFill="1" applyBorder="1" applyAlignment="1">
      <alignment vertical="center"/>
    </xf>
    <xf numFmtId="0" fontId="22" fillId="2" borderId="1" xfId="3" applyNumberFormat="1" applyFont="1" applyFill="1" applyBorder="1" applyAlignment="1" applyProtection="1">
      <alignment horizontal="center" vertical="center"/>
    </xf>
    <xf numFmtId="41" fontId="22" fillId="2" borderId="1" xfId="3" applyNumberFormat="1" applyFont="1" applyFill="1" applyBorder="1" applyAlignment="1" applyProtection="1">
      <alignment vertical="center"/>
    </xf>
    <xf numFmtId="0" fontId="31" fillId="2" borderId="30" xfId="2" applyNumberFormat="1" applyFont="1" applyFill="1" applyBorder="1" applyAlignment="1">
      <alignment horizontal="left" vertical="center" wrapText="1"/>
    </xf>
    <xf numFmtId="0" fontId="22" fillId="0" borderId="1" xfId="3" applyNumberFormat="1" applyFont="1" applyFill="1" applyBorder="1" applyAlignment="1" applyProtection="1">
      <alignment horizontal="center" vertical="center"/>
    </xf>
    <xf numFmtId="0" fontId="31" fillId="0" borderId="30" xfId="3" applyNumberFormat="1" applyFont="1" applyFill="1" applyBorder="1" applyAlignment="1" applyProtection="1">
      <alignment horizontal="left" vertical="center" wrapText="1"/>
    </xf>
    <xf numFmtId="0" fontId="31" fillId="0" borderId="30" xfId="2" applyNumberFormat="1" applyFont="1" applyBorder="1" applyAlignment="1">
      <alignment horizontal="left" vertical="center" wrapText="1"/>
    </xf>
    <xf numFmtId="0" fontId="22" fillId="0" borderId="1" xfId="3" applyNumberFormat="1" applyFont="1" applyBorder="1" applyAlignment="1">
      <alignment horizontal="center" vertical="center"/>
    </xf>
    <xf numFmtId="41" fontId="22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2" fillId="2" borderId="29" xfId="3" applyNumberFormat="1" applyFont="1" applyFill="1" applyBorder="1" applyAlignment="1">
      <alignment horizontal="center" vertical="center" wrapText="1"/>
    </xf>
    <xf numFmtId="0" fontId="22" fillId="0" borderId="1" xfId="3" applyNumberFormat="1" applyFont="1" applyBorder="1">
      <alignment vertical="center"/>
    </xf>
    <xf numFmtId="41" fontId="32" fillId="0" borderId="1" xfId="3" applyNumberFormat="1" applyFont="1" applyFill="1" applyBorder="1" applyAlignment="1" applyProtection="1">
      <alignment vertical="center"/>
    </xf>
    <xf numFmtId="0" fontId="22" fillId="0" borderId="1" xfId="3" applyNumberFormat="1" applyFont="1" applyBorder="1" applyAlignment="1">
      <alignment vertical="center"/>
    </xf>
    <xf numFmtId="0" fontId="33" fillId="0" borderId="30" xfId="3" applyNumberFormat="1" applyFont="1" applyFill="1" applyBorder="1" applyAlignment="1" applyProtection="1">
      <alignment horizontal="left" vertical="center" wrapText="1"/>
    </xf>
    <xf numFmtId="0" fontId="22" fillId="2" borderId="19" xfId="3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>
      <alignment vertical="center"/>
    </xf>
    <xf numFmtId="176" fontId="22" fillId="0" borderId="19" xfId="3" applyNumberFormat="1" applyFont="1" applyFill="1" applyBorder="1">
      <alignment vertical="center"/>
    </xf>
    <xf numFmtId="41" fontId="22" fillId="0" borderId="19" xfId="3" applyNumberFormat="1" applyFont="1" applyFill="1" applyBorder="1" applyAlignment="1" applyProtection="1">
      <alignment vertical="center"/>
    </xf>
    <xf numFmtId="0" fontId="31" fillId="0" borderId="31" xfId="3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5" fillId="0" borderId="0" xfId="7" applyNumberFormat="1" applyFont="1">
      <alignment vertical="center"/>
    </xf>
    <xf numFmtId="41" fontId="22" fillId="0" borderId="19" xfId="5" applyNumberFormat="1" applyFont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33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8" fillId="2" borderId="0" xfId="3" applyNumberFormat="1" applyFont="1" applyFill="1" applyAlignment="1">
      <alignment horizontal="center" vertical="center"/>
    </xf>
    <xf numFmtId="41" fontId="3" fillId="0" borderId="18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5" xfId="3" applyNumberFormat="1" applyFont="1" applyFill="1" applyBorder="1" applyAlignment="1" applyProtection="1">
      <alignment horizontal="center" vertical="center"/>
    </xf>
    <xf numFmtId="0" fontId="2" fillId="0" borderId="27" xfId="3" applyNumberFormat="1" applyFont="1" applyFill="1" applyBorder="1" applyAlignment="1" applyProtection="1">
      <alignment horizontal="center" vertical="center"/>
    </xf>
    <xf numFmtId="0" fontId="3" fillId="0" borderId="32" xfId="3" applyNumberFormat="1" applyFont="1" applyFill="1" applyBorder="1" applyAlignment="1" applyProtection="1">
      <alignment horizontal="center" vertical="center"/>
    </xf>
    <xf numFmtId="0" fontId="3" fillId="0" borderId="18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26" xfId="3" applyNumberFormat="1" applyFont="1" applyFill="1" applyBorder="1" applyAlignment="1" applyProtection="1">
      <alignment horizontal="center" vertical="center"/>
    </xf>
    <xf numFmtId="0" fontId="22" fillId="2" borderId="29" xfId="3" applyNumberFormat="1" applyFont="1" applyFill="1" applyBorder="1" applyAlignment="1" applyProtection="1">
      <alignment horizontal="center" vertical="center"/>
    </xf>
    <xf numFmtId="0" fontId="22" fillId="2" borderId="39" xfId="3" applyNumberFormat="1" applyFont="1" applyFill="1" applyBorder="1" applyAlignment="1" applyProtection="1">
      <alignment horizontal="center" vertical="center"/>
    </xf>
    <xf numFmtId="0" fontId="4" fillId="0" borderId="23" xfId="3" applyNumberFormat="1" applyFont="1" applyFill="1" applyBorder="1" applyAlignment="1" applyProtection="1">
      <alignment horizontal="center" vertical="center" wrapText="1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/>
    </xf>
    <xf numFmtId="41" fontId="4" fillId="0" borderId="18" xfId="5" applyNumberFormat="1" applyFont="1" applyFill="1" applyBorder="1" applyAlignment="1" applyProtection="1">
      <alignment horizontal="center" vertical="center"/>
    </xf>
    <xf numFmtId="0" fontId="4" fillId="0" borderId="18" xfId="3" applyNumberFormat="1" applyFont="1" applyFill="1" applyBorder="1" applyAlignment="1" applyProtection="1">
      <alignment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26" xfId="3" applyNumberFormat="1" applyFont="1" applyFill="1" applyBorder="1" applyAlignment="1" applyProtection="1">
      <alignment horizontal="center" vertical="center"/>
    </xf>
    <xf numFmtId="0" fontId="4" fillId="2" borderId="27" xfId="3" applyNumberFormat="1" applyFont="1" applyFill="1" applyBorder="1" applyAlignment="1">
      <alignment horizontal="center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5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"/>
  <sheetViews>
    <sheetView tabSelected="1" zoomScaleNormal="100" workbookViewId="0">
      <selection activeCell="E9" sqref="E9"/>
    </sheetView>
  </sheetViews>
  <sheetFormatPr defaultColWidth="9" defaultRowHeight="13.5" x14ac:dyDescent="0.3"/>
  <cols>
    <col min="1" max="1" width="15.625" style="26" customWidth="1"/>
    <col min="2" max="2" width="15.625" style="74" customWidth="1"/>
    <col min="3" max="3" width="14.375" style="74" customWidth="1"/>
    <col min="4" max="4" width="13.75" style="72" customWidth="1"/>
    <col min="5" max="5" width="13.625" style="72" customWidth="1"/>
    <col min="6" max="6" width="14.125" style="26" customWidth="1"/>
    <col min="7" max="7" width="15.625" style="26" customWidth="1"/>
    <col min="8" max="8" width="42.25" style="26" customWidth="1"/>
    <col min="9" max="10" width="10" style="26" customWidth="1"/>
    <col min="11" max="11" width="18.875" style="26" customWidth="1"/>
    <col min="12" max="256" width="10" style="26" customWidth="1"/>
    <col min="257" max="16384" width="9" style="22"/>
  </cols>
  <sheetData>
    <row r="1" spans="1:11" ht="25.5" x14ac:dyDescent="0.3">
      <c r="A1" s="238" t="s">
        <v>230</v>
      </c>
      <c r="B1" s="238"/>
      <c r="C1" s="238"/>
      <c r="D1" s="238"/>
      <c r="E1" s="238"/>
      <c r="F1" s="238"/>
      <c r="G1" s="238"/>
      <c r="H1" s="238"/>
    </row>
    <row r="2" spans="1:11" ht="15" customHeight="1" x14ac:dyDescent="0.3">
      <c r="A2" s="171"/>
      <c r="B2" s="171"/>
      <c r="C2" s="172"/>
      <c r="D2" s="173"/>
      <c r="E2" s="173"/>
      <c r="F2" s="171"/>
      <c r="G2" s="171"/>
      <c r="H2" s="171"/>
    </row>
    <row r="3" spans="1:11" ht="19.5" thickBot="1" x14ac:dyDescent="0.35">
      <c r="A3" s="174" t="s">
        <v>314</v>
      </c>
      <c r="B3" s="175"/>
      <c r="C3" s="172"/>
      <c r="D3" s="176"/>
      <c r="E3" s="176"/>
      <c r="F3" s="177"/>
      <c r="G3" s="178"/>
      <c r="H3" s="179" t="s">
        <v>88</v>
      </c>
    </row>
    <row r="4" spans="1:11" s="28" customFormat="1" ht="26.1" customHeight="1" x14ac:dyDescent="0.3">
      <c r="A4" s="243" t="s">
        <v>87</v>
      </c>
      <c r="B4" s="244"/>
      <c r="C4" s="244"/>
      <c r="D4" s="239" t="s">
        <v>86</v>
      </c>
      <c r="E4" s="239"/>
      <c r="F4" s="245" t="s">
        <v>10</v>
      </c>
      <c r="G4" s="246"/>
      <c r="H4" s="247" t="s">
        <v>16</v>
      </c>
    </row>
    <row r="5" spans="1:11" s="28" customFormat="1" ht="26.1" customHeight="1" thickBot="1" x14ac:dyDescent="0.35">
      <c r="A5" s="119" t="s">
        <v>56</v>
      </c>
      <c r="B5" s="120" t="s">
        <v>60</v>
      </c>
      <c r="C5" s="120" t="s">
        <v>38</v>
      </c>
      <c r="D5" s="121" t="s">
        <v>239</v>
      </c>
      <c r="E5" s="122" t="s">
        <v>240</v>
      </c>
      <c r="F5" s="123" t="s">
        <v>45</v>
      </c>
      <c r="G5" s="124" t="s">
        <v>39</v>
      </c>
      <c r="H5" s="248"/>
    </row>
    <row r="6" spans="1:11" ht="26.1" customHeight="1" thickTop="1" x14ac:dyDescent="0.3">
      <c r="A6" s="235" t="s">
        <v>89</v>
      </c>
      <c r="B6" s="236"/>
      <c r="C6" s="237"/>
      <c r="D6" s="125">
        <f>D7+D12+D17+D21+D24</f>
        <v>1017085</v>
      </c>
      <c r="E6" s="126">
        <f>E7+E12+E17+E21+E24</f>
        <v>1193192</v>
      </c>
      <c r="F6" s="127">
        <f>E6-D6</f>
        <v>176107</v>
      </c>
      <c r="G6" s="128"/>
      <c r="H6" s="129" t="s">
        <v>310</v>
      </c>
      <c r="K6" s="230"/>
    </row>
    <row r="7" spans="1:11" ht="26.1" customHeight="1" x14ac:dyDescent="0.3">
      <c r="A7" s="130" t="s">
        <v>108</v>
      </c>
      <c r="B7" s="131"/>
      <c r="C7" s="132"/>
      <c r="D7" s="133">
        <f>D8</f>
        <v>782497</v>
      </c>
      <c r="E7" s="134">
        <f>E8</f>
        <v>944132</v>
      </c>
      <c r="F7" s="127">
        <f t="shared" ref="F7:F27" si="0">E7-D7</f>
        <v>161635</v>
      </c>
      <c r="G7" s="128"/>
      <c r="H7" s="129"/>
    </row>
    <row r="8" spans="1:11" ht="26.1" customHeight="1" x14ac:dyDescent="0.3">
      <c r="A8" s="135"/>
      <c r="B8" s="131" t="s">
        <v>108</v>
      </c>
      <c r="C8" s="132"/>
      <c r="D8" s="133">
        <f>D9+D10+D11</f>
        <v>782497</v>
      </c>
      <c r="E8" s="136">
        <f>E9+E10</f>
        <v>944132</v>
      </c>
      <c r="F8" s="127">
        <f t="shared" si="0"/>
        <v>161635</v>
      </c>
      <c r="G8" s="128"/>
      <c r="H8" s="129"/>
    </row>
    <row r="9" spans="1:11" ht="72" x14ac:dyDescent="0.3">
      <c r="A9" s="241"/>
      <c r="B9" s="240"/>
      <c r="C9" s="131" t="s">
        <v>110</v>
      </c>
      <c r="D9" s="137">
        <v>756511</v>
      </c>
      <c r="E9" s="136">
        <v>911938</v>
      </c>
      <c r="F9" s="127">
        <f t="shared" si="0"/>
        <v>155427</v>
      </c>
      <c r="G9" s="128"/>
      <c r="H9" s="138" t="s">
        <v>296</v>
      </c>
      <c r="J9" s="114"/>
      <c r="K9" s="115"/>
    </row>
    <row r="10" spans="1:11" ht="114" customHeight="1" x14ac:dyDescent="0.3">
      <c r="A10" s="241"/>
      <c r="B10" s="240"/>
      <c r="C10" s="131" t="s">
        <v>82</v>
      </c>
      <c r="D10" s="137">
        <v>25986</v>
      </c>
      <c r="E10" s="136">
        <v>32194</v>
      </c>
      <c r="F10" s="127">
        <f t="shared" si="0"/>
        <v>6208</v>
      </c>
      <c r="G10" s="128"/>
      <c r="H10" s="138" t="s">
        <v>297</v>
      </c>
    </row>
    <row r="11" spans="1:11" ht="35.25" hidden="1" customHeight="1" x14ac:dyDescent="0.3">
      <c r="A11" s="242"/>
      <c r="B11" s="240"/>
      <c r="C11" s="131" t="s">
        <v>125</v>
      </c>
      <c r="D11" s="139"/>
      <c r="E11" s="136"/>
      <c r="F11" s="127">
        <f t="shared" si="0"/>
        <v>0</v>
      </c>
      <c r="G11" s="128" t="e">
        <f>#REF!-#REF!</f>
        <v>#REF!</v>
      </c>
      <c r="H11" s="140"/>
    </row>
    <row r="12" spans="1:11" ht="26.1" customHeight="1" x14ac:dyDescent="0.3">
      <c r="A12" s="130" t="s">
        <v>120</v>
      </c>
      <c r="B12" s="131"/>
      <c r="C12" s="131"/>
      <c r="D12" s="134">
        <f>SUM(D14:D16)</f>
        <v>122500</v>
      </c>
      <c r="E12" s="134">
        <f>SUM(E14:E16)</f>
        <v>122500</v>
      </c>
      <c r="F12" s="127"/>
      <c r="G12" s="128"/>
      <c r="H12" s="141"/>
    </row>
    <row r="13" spans="1:11" ht="26.1" customHeight="1" x14ac:dyDescent="0.3">
      <c r="A13" s="142"/>
      <c r="B13" s="131" t="s">
        <v>120</v>
      </c>
      <c r="C13" s="131"/>
      <c r="D13" s="134">
        <f>D14+D15+D16</f>
        <v>122500</v>
      </c>
      <c r="E13" s="134">
        <f>E14+E15+E16</f>
        <v>122500</v>
      </c>
      <c r="F13" s="127"/>
      <c r="G13" s="128"/>
      <c r="H13" s="141"/>
    </row>
    <row r="14" spans="1:11" ht="39.75" customHeight="1" x14ac:dyDescent="0.3">
      <c r="A14" s="142"/>
      <c r="B14" s="232"/>
      <c r="C14" s="143" t="s">
        <v>102</v>
      </c>
      <c r="D14" s="137">
        <v>60000</v>
      </c>
      <c r="E14" s="136">
        <v>60000</v>
      </c>
      <c r="F14" s="127"/>
      <c r="G14" s="128"/>
      <c r="H14" s="140" t="s">
        <v>229</v>
      </c>
    </row>
    <row r="15" spans="1:11" ht="32.25" customHeight="1" x14ac:dyDescent="0.3">
      <c r="A15" s="142"/>
      <c r="B15" s="233"/>
      <c r="C15" s="144" t="s">
        <v>85</v>
      </c>
      <c r="D15" s="137">
        <v>60000</v>
      </c>
      <c r="E15" s="136">
        <f>D15</f>
        <v>60000</v>
      </c>
      <c r="F15" s="127"/>
      <c r="G15" s="128"/>
      <c r="H15" s="140"/>
    </row>
    <row r="16" spans="1:11" ht="32.25" customHeight="1" x14ac:dyDescent="0.3">
      <c r="A16" s="142"/>
      <c r="B16" s="234"/>
      <c r="C16" s="144" t="s">
        <v>208</v>
      </c>
      <c r="D16" s="137">
        <v>2500</v>
      </c>
      <c r="E16" s="136">
        <f>D16</f>
        <v>2500</v>
      </c>
      <c r="F16" s="127"/>
      <c r="G16" s="128"/>
      <c r="H16" s="140"/>
    </row>
    <row r="17" spans="1:8" ht="26.1" customHeight="1" x14ac:dyDescent="0.3">
      <c r="A17" s="130" t="s">
        <v>36</v>
      </c>
      <c r="B17" s="131"/>
      <c r="C17" s="145"/>
      <c r="D17" s="146">
        <f>D18</f>
        <v>2500</v>
      </c>
      <c r="E17" s="136">
        <f>E18</f>
        <v>2500</v>
      </c>
      <c r="F17" s="127"/>
      <c r="G17" s="128"/>
      <c r="H17" s="147"/>
    </row>
    <row r="18" spans="1:8" ht="26.1" customHeight="1" x14ac:dyDescent="0.3">
      <c r="A18" s="135"/>
      <c r="B18" s="131" t="s">
        <v>36</v>
      </c>
      <c r="C18" s="145"/>
      <c r="D18" s="146">
        <f>D19+D20</f>
        <v>2500</v>
      </c>
      <c r="E18" s="136">
        <f>E19+E20</f>
        <v>2500</v>
      </c>
      <c r="F18" s="127"/>
      <c r="G18" s="128"/>
      <c r="H18" s="147"/>
    </row>
    <row r="19" spans="1:8" ht="30.75" customHeight="1" x14ac:dyDescent="0.3">
      <c r="A19" s="148"/>
      <c r="B19" s="149"/>
      <c r="C19" s="145" t="s">
        <v>100</v>
      </c>
      <c r="D19" s="137">
        <v>1000</v>
      </c>
      <c r="E19" s="136">
        <v>1000</v>
      </c>
      <c r="F19" s="127"/>
      <c r="G19" s="128"/>
      <c r="H19" s="147" t="s">
        <v>183</v>
      </c>
    </row>
    <row r="20" spans="1:8" ht="33" customHeight="1" x14ac:dyDescent="0.3">
      <c r="A20" s="150"/>
      <c r="B20" s="151"/>
      <c r="C20" s="152" t="s">
        <v>19</v>
      </c>
      <c r="D20" s="137">
        <v>1500</v>
      </c>
      <c r="E20" s="136">
        <v>1500</v>
      </c>
      <c r="F20" s="127"/>
      <c r="G20" s="128"/>
      <c r="H20" s="153"/>
    </row>
    <row r="21" spans="1:8" ht="26.1" customHeight="1" x14ac:dyDescent="0.3">
      <c r="A21" s="130" t="s">
        <v>32</v>
      </c>
      <c r="B21" s="131"/>
      <c r="C21" s="131"/>
      <c r="D21" s="154">
        <f>SUM(D23:D23)</f>
        <v>98888</v>
      </c>
      <c r="E21" s="136">
        <f>E22</f>
        <v>110000</v>
      </c>
      <c r="F21" s="127">
        <f t="shared" si="0"/>
        <v>11112</v>
      </c>
      <c r="G21" s="155"/>
      <c r="H21" s="156"/>
    </row>
    <row r="22" spans="1:8" ht="26.1" customHeight="1" x14ac:dyDescent="0.3">
      <c r="A22" s="135"/>
      <c r="B22" s="131" t="s">
        <v>32</v>
      </c>
      <c r="C22" s="131"/>
      <c r="D22" s="154">
        <f>D23</f>
        <v>98888</v>
      </c>
      <c r="E22" s="136">
        <f>E23</f>
        <v>110000</v>
      </c>
      <c r="F22" s="127">
        <f t="shared" si="0"/>
        <v>11112</v>
      </c>
      <c r="G22" s="155"/>
      <c r="H22" s="156"/>
    </row>
    <row r="23" spans="1:8" ht="49.5" customHeight="1" x14ac:dyDescent="0.3">
      <c r="A23" s="150"/>
      <c r="B23" s="157"/>
      <c r="C23" s="158" t="s">
        <v>90</v>
      </c>
      <c r="D23" s="137">
        <v>98888</v>
      </c>
      <c r="E23" s="136">
        <v>110000</v>
      </c>
      <c r="F23" s="127">
        <f t="shared" si="0"/>
        <v>11112</v>
      </c>
      <c r="G23" s="127"/>
      <c r="H23" s="159" t="s">
        <v>299</v>
      </c>
    </row>
    <row r="24" spans="1:8" ht="26.1" customHeight="1" x14ac:dyDescent="0.3">
      <c r="A24" s="130" t="s">
        <v>40</v>
      </c>
      <c r="B24" s="131"/>
      <c r="C24" s="131"/>
      <c r="D24" s="160">
        <f>SUM(D26:D28)</f>
        <v>10700</v>
      </c>
      <c r="E24" s="136">
        <f>E25</f>
        <v>14060</v>
      </c>
      <c r="F24" s="127">
        <f t="shared" si="0"/>
        <v>3360</v>
      </c>
      <c r="G24" s="161"/>
      <c r="H24" s="141"/>
    </row>
    <row r="25" spans="1:8" ht="26.1" customHeight="1" x14ac:dyDescent="0.3">
      <c r="A25" s="142"/>
      <c r="B25" s="131" t="s">
        <v>40</v>
      </c>
      <c r="C25" s="131"/>
      <c r="D25" s="133">
        <f>D26+D27+D28</f>
        <v>10700</v>
      </c>
      <c r="E25" s="136">
        <f>E26+E27+E28</f>
        <v>14060</v>
      </c>
      <c r="F25" s="127">
        <f t="shared" si="0"/>
        <v>3360</v>
      </c>
      <c r="G25" s="161"/>
      <c r="H25" s="141"/>
    </row>
    <row r="26" spans="1:8" ht="33" customHeight="1" x14ac:dyDescent="0.3">
      <c r="A26" s="142"/>
      <c r="B26" s="143"/>
      <c r="C26" s="158" t="s">
        <v>14</v>
      </c>
      <c r="D26" s="137">
        <v>600</v>
      </c>
      <c r="E26" s="136">
        <v>600</v>
      </c>
      <c r="F26" s="127"/>
      <c r="G26" s="161"/>
      <c r="H26" s="141"/>
    </row>
    <row r="27" spans="1:8" ht="52.5" customHeight="1" x14ac:dyDescent="0.3">
      <c r="A27" s="142"/>
      <c r="B27" s="143"/>
      <c r="C27" s="162" t="s">
        <v>212</v>
      </c>
      <c r="D27" s="137">
        <v>9600</v>
      </c>
      <c r="E27" s="136">
        <v>12960</v>
      </c>
      <c r="F27" s="127">
        <f t="shared" si="0"/>
        <v>3360</v>
      </c>
      <c r="G27" s="161"/>
      <c r="H27" s="163" t="s">
        <v>311</v>
      </c>
    </row>
    <row r="28" spans="1:8" ht="72.75" customHeight="1" thickBot="1" x14ac:dyDescent="0.35">
      <c r="A28" s="164"/>
      <c r="B28" s="165"/>
      <c r="C28" s="166" t="s">
        <v>99</v>
      </c>
      <c r="D28" s="167">
        <v>500</v>
      </c>
      <c r="E28" s="168">
        <v>500</v>
      </c>
      <c r="F28" s="231"/>
      <c r="G28" s="169"/>
      <c r="H28" s="170" t="s">
        <v>312</v>
      </c>
    </row>
    <row r="29" spans="1:8" x14ac:dyDescent="0.3">
      <c r="F29" s="113"/>
      <c r="G29" s="113"/>
    </row>
    <row r="32" spans="1:8" x14ac:dyDescent="0.3">
      <c r="H32" s="26" t="s">
        <v>226</v>
      </c>
    </row>
  </sheetData>
  <mergeCells count="9"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workbookViewId="0">
      <selection activeCell="I7" sqref="I7"/>
    </sheetView>
  </sheetViews>
  <sheetFormatPr defaultColWidth="9" defaultRowHeight="13.5" x14ac:dyDescent="0.3"/>
  <cols>
    <col min="1" max="1" width="12.625" style="26" bestFit="1" customWidth="1"/>
    <col min="2" max="2" width="12.625" style="74" bestFit="1" customWidth="1"/>
    <col min="3" max="3" width="18.25" style="74" bestFit="1" customWidth="1"/>
    <col min="4" max="4" width="14.75" style="26" bestFit="1" customWidth="1"/>
    <col min="5" max="5" width="17" style="26" bestFit="1" customWidth="1"/>
    <col min="6" max="6" width="14.75" style="26" bestFit="1" customWidth="1"/>
    <col min="7" max="7" width="13.75" style="26" customWidth="1"/>
    <col min="8" max="8" width="42.625" style="73" customWidth="1"/>
    <col min="9" max="253" width="10" style="26" customWidth="1"/>
    <col min="254" max="16384" width="9" style="22"/>
  </cols>
  <sheetData>
    <row r="1" spans="1:9" ht="39" customHeight="1" x14ac:dyDescent="0.3">
      <c r="A1" s="238" t="s">
        <v>313</v>
      </c>
      <c r="B1" s="238"/>
      <c r="C1" s="238"/>
      <c r="D1" s="238"/>
      <c r="E1" s="238"/>
      <c r="F1" s="238"/>
      <c r="G1" s="238"/>
      <c r="H1" s="238"/>
    </row>
    <row r="2" spans="1:9" ht="25.5" x14ac:dyDescent="0.3">
      <c r="A2" s="171"/>
      <c r="B2" s="171"/>
      <c r="C2" s="171"/>
      <c r="D2" s="180"/>
      <c r="E2" s="181"/>
      <c r="F2" s="171"/>
      <c r="G2" s="171"/>
      <c r="H2" s="182"/>
    </row>
    <row r="3" spans="1:9" s="26" customFormat="1" ht="14.25" thickBot="1" x14ac:dyDescent="0.35">
      <c r="A3" s="183" t="s">
        <v>111</v>
      </c>
      <c r="B3" s="183"/>
      <c r="C3" s="183"/>
      <c r="D3" s="184"/>
      <c r="E3" s="185"/>
      <c r="F3" s="185"/>
      <c r="G3" s="184"/>
      <c r="H3" s="186" t="s">
        <v>15</v>
      </c>
    </row>
    <row r="4" spans="1:9" ht="24.95" customHeight="1" x14ac:dyDescent="0.3">
      <c r="A4" s="252" t="s">
        <v>87</v>
      </c>
      <c r="B4" s="253"/>
      <c r="C4" s="254"/>
      <c r="D4" s="251" t="s">
        <v>91</v>
      </c>
      <c r="E4" s="251"/>
      <c r="F4" s="255" t="s">
        <v>9</v>
      </c>
      <c r="G4" s="256"/>
      <c r="H4" s="257" t="s">
        <v>101</v>
      </c>
    </row>
    <row r="5" spans="1:9" ht="24.95" customHeight="1" thickBot="1" x14ac:dyDescent="0.35">
      <c r="A5" s="187" t="s">
        <v>56</v>
      </c>
      <c r="B5" s="188" t="s">
        <v>60</v>
      </c>
      <c r="C5" s="188" t="s">
        <v>38</v>
      </c>
      <c r="D5" s="189" t="s">
        <v>239</v>
      </c>
      <c r="E5" s="86" t="s">
        <v>240</v>
      </c>
      <c r="F5" s="190" t="s">
        <v>45</v>
      </c>
      <c r="G5" s="190" t="s">
        <v>39</v>
      </c>
      <c r="H5" s="258"/>
    </row>
    <row r="6" spans="1:9" ht="27" customHeight="1" thickTop="1" x14ac:dyDescent="0.3">
      <c r="A6" s="259" t="s">
        <v>11</v>
      </c>
      <c r="B6" s="234"/>
      <c r="C6" s="234"/>
      <c r="D6" s="191">
        <f>D7+D25+D30+D57+D60</f>
        <v>1017085</v>
      </c>
      <c r="E6" s="191">
        <f>E7+E25+E30+E57+E60</f>
        <v>1193192</v>
      </c>
      <c r="F6" s="192">
        <f>E6-D6</f>
        <v>176107</v>
      </c>
      <c r="G6" s="193"/>
      <c r="H6" s="194" t="s">
        <v>310</v>
      </c>
    </row>
    <row r="7" spans="1:9" ht="24.75" customHeight="1" x14ac:dyDescent="0.3">
      <c r="A7" s="130" t="s">
        <v>41</v>
      </c>
      <c r="B7" s="149"/>
      <c r="C7" s="149"/>
      <c r="D7" s="195">
        <f>D8+D14+D17</f>
        <v>685730</v>
      </c>
      <c r="E7" s="195">
        <f>E8+E14+E17</f>
        <v>834728</v>
      </c>
      <c r="F7" s="192">
        <f t="shared" ref="F7:F45" si="0">E7-D7</f>
        <v>148998</v>
      </c>
      <c r="G7" s="196"/>
      <c r="H7" s="197"/>
    </row>
    <row r="8" spans="1:9" ht="24.75" customHeight="1" x14ac:dyDescent="0.3">
      <c r="A8" s="198"/>
      <c r="B8" s="199" t="s">
        <v>48</v>
      </c>
      <c r="C8" s="199"/>
      <c r="D8" s="195">
        <f>SUM(D9:D13)</f>
        <v>618383</v>
      </c>
      <c r="E8" s="195">
        <f>SUM(E9:E13)</f>
        <v>761937</v>
      </c>
      <c r="F8" s="192">
        <f t="shared" si="0"/>
        <v>143554</v>
      </c>
      <c r="G8" s="196"/>
      <c r="H8" s="197"/>
      <c r="I8" s="113"/>
    </row>
    <row r="9" spans="1:9" ht="48" customHeight="1" x14ac:dyDescent="0.3">
      <c r="A9" s="198"/>
      <c r="B9" s="199"/>
      <c r="C9" s="199" t="s">
        <v>92</v>
      </c>
      <c r="D9" s="200">
        <v>408225</v>
      </c>
      <c r="E9" s="201">
        <v>499380</v>
      </c>
      <c r="F9" s="192">
        <f t="shared" si="0"/>
        <v>91155</v>
      </c>
      <c r="G9" s="196"/>
      <c r="H9" s="202" t="s">
        <v>273</v>
      </c>
    </row>
    <row r="10" spans="1:9" ht="63" customHeight="1" x14ac:dyDescent="0.3">
      <c r="A10" s="198"/>
      <c r="B10" s="199"/>
      <c r="C10" s="199" t="s">
        <v>113</v>
      </c>
      <c r="D10" s="203">
        <v>112884</v>
      </c>
      <c r="E10" s="201">
        <v>141720</v>
      </c>
      <c r="F10" s="192">
        <f t="shared" si="0"/>
        <v>28836</v>
      </c>
      <c r="G10" s="196"/>
      <c r="H10" s="202" t="s">
        <v>300</v>
      </c>
    </row>
    <row r="11" spans="1:9" ht="35.25" customHeight="1" x14ac:dyDescent="0.3">
      <c r="A11" s="198"/>
      <c r="B11" s="199"/>
      <c r="C11" s="204" t="s">
        <v>4</v>
      </c>
      <c r="D11" s="203">
        <v>43252</v>
      </c>
      <c r="E11" s="201">
        <v>53425</v>
      </c>
      <c r="F11" s="192">
        <f t="shared" si="0"/>
        <v>10173</v>
      </c>
      <c r="G11" s="196"/>
      <c r="H11" s="202" t="s">
        <v>274</v>
      </c>
    </row>
    <row r="12" spans="1:9" ht="81.75" customHeight="1" x14ac:dyDescent="0.3">
      <c r="A12" s="198"/>
      <c r="B12" s="199"/>
      <c r="C12" s="204" t="s">
        <v>18</v>
      </c>
      <c r="D12" s="203">
        <v>52170</v>
      </c>
      <c r="E12" s="201">
        <v>64970</v>
      </c>
      <c r="F12" s="192">
        <f t="shared" si="0"/>
        <v>12800</v>
      </c>
      <c r="G12" s="196"/>
      <c r="H12" s="202" t="s">
        <v>275</v>
      </c>
    </row>
    <row r="13" spans="1:9" ht="84.75" customHeight="1" x14ac:dyDescent="0.3">
      <c r="A13" s="198"/>
      <c r="B13" s="199"/>
      <c r="C13" s="199" t="s">
        <v>97</v>
      </c>
      <c r="D13" s="203">
        <v>1852</v>
      </c>
      <c r="E13" s="205">
        <v>2442</v>
      </c>
      <c r="F13" s="192">
        <f t="shared" si="0"/>
        <v>590</v>
      </c>
      <c r="G13" s="196"/>
      <c r="H13" s="206" t="s">
        <v>276</v>
      </c>
    </row>
    <row r="14" spans="1:9" ht="24.75" customHeight="1" x14ac:dyDescent="0.3">
      <c r="A14" s="198"/>
      <c r="B14" s="199" t="s">
        <v>109</v>
      </c>
      <c r="C14" s="199"/>
      <c r="D14" s="195">
        <f>SUM(D15:D16)</f>
        <v>3674</v>
      </c>
      <c r="E14" s="195">
        <f>SUM(E15:E16)</f>
        <v>3674</v>
      </c>
      <c r="F14" s="192"/>
      <c r="G14" s="196"/>
      <c r="H14" s="197"/>
    </row>
    <row r="15" spans="1:9" ht="52.5" customHeight="1" x14ac:dyDescent="0.3">
      <c r="A15" s="198"/>
      <c r="B15" s="207"/>
      <c r="C15" s="199" t="s">
        <v>123</v>
      </c>
      <c r="D15" s="203">
        <v>2914</v>
      </c>
      <c r="E15" s="203">
        <v>2914</v>
      </c>
      <c r="F15" s="192"/>
      <c r="G15" s="196"/>
      <c r="H15" s="206" t="s">
        <v>205</v>
      </c>
    </row>
    <row r="16" spans="1:9" ht="49.5" customHeight="1" x14ac:dyDescent="0.3">
      <c r="A16" s="198"/>
      <c r="B16" s="207"/>
      <c r="C16" s="199" t="s">
        <v>118</v>
      </c>
      <c r="D16" s="203">
        <v>760</v>
      </c>
      <c r="E16" s="203">
        <v>760</v>
      </c>
      <c r="F16" s="192"/>
      <c r="G16" s="196"/>
      <c r="H16" s="206" t="s">
        <v>206</v>
      </c>
    </row>
    <row r="17" spans="1:9" ht="29.25" customHeight="1" x14ac:dyDescent="0.3">
      <c r="A17" s="198"/>
      <c r="B17" s="199" t="s">
        <v>44</v>
      </c>
      <c r="C17" s="199"/>
      <c r="D17" s="195">
        <f>SUM(D18:D24)</f>
        <v>63673</v>
      </c>
      <c r="E17" s="195">
        <f>SUM(E18:E24)</f>
        <v>69117</v>
      </c>
      <c r="F17" s="192">
        <f t="shared" si="0"/>
        <v>5444</v>
      </c>
      <c r="G17" s="196"/>
      <c r="H17" s="197"/>
    </row>
    <row r="18" spans="1:9" ht="72" customHeight="1" x14ac:dyDescent="0.3">
      <c r="A18" s="198"/>
      <c r="B18" s="207"/>
      <c r="C18" s="199" t="s">
        <v>81</v>
      </c>
      <c r="D18" s="203">
        <v>3100</v>
      </c>
      <c r="E18" s="203">
        <v>3844</v>
      </c>
      <c r="F18" s="192">
        <f t="shared" si="0"/>
        <v>744</v>
      </c>
      <c r="G18" s="196"/>
      <c r="H18" s="206" t="s">
        <v>277</v>
      </c>
    </row>
    <row r="19" spans="1:9" ht="188.25" customHeight="1" x14ac:dyDescent="0.3">
      <c r="A19" s="198"/>
      <c r="B19" s="207"/>
      <c r="C19" s="204" t="s">
        <v>25</v>
      </c>
      <c r="D19" s="203">
        <v>15600</v>
      </c>
      <c r="E19" s="203">
        <v>16840</v>
      </c>
      <c r="F19" s="192">
        <f t="shared" si="0"/>
        <v>1240</v>
      </c>
      <c r="G19" s="196"/>
      <c r="H19" s="206" t="s">
        <v>283</v>
      </c>
    </row>
    <row r="20" spans="1:9" ht="126" customHeight="1" x14ac:dyDescent="0.3">
      <c r="A20" s="198"/>
      <c r="B20" s="207"/>
      <c r="C20" s="199" t="s">
        <v>105</v>
      </c>
      <c r="D20" s="203">
        <v>22560</v>
      </c>
      <c r="E20" s="203">
        <v>22560</v>
      </c>
      <c r="F20" s="192">
        <f t="shared" si="0"/>
        <v>0</v>
      </c>
      <c r="G20" s="196">
        <f>D20-E20</f>
        <v>0</v>
      </c>
      <c r="H20" s="206" t="s">
        <v>231</v>
      </c>
    </row>
    <row r="21" spans="1:9" ht="153" customHeight="1" x14ac:dyDescent="0.3">
      <c r="A21" s="198"/>
      <c r="B21" s="207"/>
      <c r="C21" s="199" t="s">
        <v>107</v>
      </c>
      <c r="D21" s="203">
        <v>8970</v>
      </c>
      <c r="E21" s="203">
        <v>9770</v>
      </c>
      <c r="F21" s="192">
        <f t="shared" si="0"/>
        <v>800</v>
      </c>
      <c r="G21" s="196"/>
      <c r="H21" s="206" t="s">
        <v>298</v>
      </c>
    </row>
    <row r="22" spans="1:9" ht="49.5" customHeight="1" x14ac:dyDescent="0.3">
      <c r="A22" s="198"/>
      <c r="B22" s="207"/>
      <c r="C22" s="199" t="s">
        <v>103</v>
      </c>
      <c r="D22" s="203">
        <v>10800</v>
      </c>
      <c r="E22" s="203">
        <v>13060</v>
      </c>
      <c r="F22" s="192">
        <f t="shared" si="0"/>
        <v>2260</v>
      </c>
      <c r="G22" s="196"/>
      <c r="H22" s="206" t="s">
        <v>302</v>
      </c>
    </row>
    <row r="23" spans="1:9" ht="43.5" customHeight="1" x14ac:dyDescent="0.3">
      <c r="A23" s="198"/>
      <c r="B23" s="207"/>
      <c r="C23" s="199" t="s">
        <v>304</v>
      </c>
      <c r="D23" s="203">
        <v>1200</v>
      </c>
      <c r="E23" s="203">
        <v>1600</v>
      </c>
      <c r="F23" s="192">
        <f t="shared" si="0"/>
        <v>400</v>
      </c>
      <c r="G23" s="196"/>
      <c r="H23" s="206" t="s">
        <v>305</v>
      </c>
    </row>
    <row r="24" spans="1:9" ht="49.5" customHeight="1" x14ac:dyDescent="0.3">
      <c r="A24" s="198"/>
      <c r="B24" s="207"/>
      <c r="C24" s="199" t="s">
        <v>95</v>
      </c>
      <c r="D24" s="203">
        <v>1443</v>
      </c>
      <c r="E24" s="203">
        <v>1443</v>
      </c>
      <c r="F24" s="192"/>
      <c r="G24" s="196"/>
      <c r="H24" s="206" t="s">
        <v>232</v>
      </c>
    </row>
    <row r="25" spans="1:9" ht="24.75" customHeight="1" x14ac:dyDescent="0.3">
      <c r="A25" s="198" t="s">
        <v>116</v>
      </c>
      <c r="B25" s="199"/>
      <c r="C25" s="199"/>
      <c r="D25" s="195">
        <f>SUM(D27:D29)</f>
        <v>38918</v>
      </c>
      <c r="E25" s="195">
        <f>SUM(E27:E29)</f>
        <v>38918</v>
      </c>
      <c r="F25" s="192"/>
      <c r="G25" s="196"/>
      <c r="H25" s="197"/>
    </row>
    <row r="26" spans="1:9" ht="24.75" customHeight="1" x14ac:dyDescent="0.3">
      <c r="A26" s="198"/>
      <c r="B26" s="199" t="s">
        <v>37</v>
      </c>
      <c r="C26" s="199"/>
      <c r="D26" s="195">
        <f>D27+D28+D29</f>
        <v>38918</v>
      </c>
      <c r="E26" s="195">
        <f>E27+E28+E29</f>
        <v>38918</v>
      </c>
      <c r="F26" s="192"/>
      <c r="G26" s="196"/>
      <c r="H26" s="197"/>
    </row>
    <row r="27" spans="1:9" ht="26.25" customHeight="1" x14ac:dyDescent="0.3">
      <c r="A27" s="198"/>
      <c r="B27" s="199"/>
      <c r="C27" s="199" t="s">
        <v>37</v>
      </c>
      <c r="D27" s="203">
        <v>13858</v>
      </c>
      <c r="E27" s="203">
        <v>13858</v>
      </c>
      <c r="F27" s="192"/>
      <c r="G27" s="196"/>
      <c r="H27" s="206" t="s">
        <v>207</v>
      </c>
    </row>
    <row r="28" spans="1:9" ht="27" customHeight="1" x14ac:dyDescent="0.3">
      <c r="A28" s="198"/>
      <c r="B28" s="199"/>
      <c r="C28" s="199" t="s">
        <v>121</v>
      </c>
      <c r="D28" s="203">
        <v>3600</v>
      </c>
      <c r="E28" s="203">
        <v>3600</v>
      </c>
      <c r="F28" s="192"/>
      <c r="G28" s="196"/>
      <c r="H28" s="206" t="s">
        <v>202</v>
      </c>
    </row>
    <row r="29" spans="1:9" ht="90" customHeight="1" x14ac:dyDescent="0.3">
      <c r="A29" s="198"/>
      <c r="B29" s="199"/>
      <c r="C29" s="199" t="s">
        <v>104</v>
      </c>
      <c r="D29" s="203">
        <v>21460</v>
      </c>
      <c r="E29" s="203">
        <v>21460</v>
      </c>
      <c r="F29" s="192"/>
      <c r="G29" s="196"/>
      <c r="H29" s="206" t="s">
        <v>292</v>
      </c>
    </row>
    <row r="30" spans="1:9" ht="24.75" customHeight="1" x14ac:dyDescent="0.3">
      <c r="A30" s="198" t="s">
        <v>49</v>
      </c>
      <c r="B30" s="199"/>
      <c r="C30" s="199"/>
      <c r="D30" s="195">
        <f>D31+D38+D47</f>
        <v>272887</v>
      </c>
      <c r="E30" s="195">
        <f>E31+E38+E47</f>
        <v>299996</v>
      </c>
      <c r="F30" s="192">
        <f t="shared" si="0"/>
        <v>27109</v>
      </c>
      <c r="G30" s="196"/>
      <c r="H30" s="197"/>
    </row>
    <row r="31" spans="1:9" ht="24.75" customHeight="1" x14ac:dyDescent="0.3">
      <c r="A31" s="198"/>
      <c r="B31" s="199" t="s">
        <v>44</v>
      </c>
      <c r="C31" s="199"/>
      <c r="D31" s="195">
        <f>SUM(D32:D37)</f>
        <v>173939</v>
      </c>
      <c r="E31" s="195">
        <f>SUM(E32:E37)</f>
        <v>193880</v>
      </c>
      <c r="F31" s="192">
        <f t="shared" si="0"/>
        <v>19941</v>
      </c>
      <c r="G31" s="196"/>
      <c r="H31" s="197"/>
    </row>
    <row r="32" spans="1:9" ht="121.5" customHeight="1" x14ac:dyDescent="0.3">
      <c r="A32" s="198"/>
      <c r="B32" s="208"/>
      <c r="C32" s="204" t="s">
        <v>0</v>
      </c>
      <c r="D32" s="203">
        <v>101232</v>
      </c>
      <c r="E32" s="205">
        <v>116470</v>
      </c>
      <c r="F32" s="192">
        <f t="shared" si="0"/>
        <v>15238</v>
      </c>
      <c r="G32" s="209"/>
      <c r="H32" s="210" t="s">
        <v>278</v>
      </c>
      <c r="I32" s="113"/>
    </row>
    <row r="33" spans="1:253" ht="89.25" customHeight="1" x14ac:dyDescent="0.3">
      <c r="A33" s="198"/>
      <c r="B33" s="211"/>
      <c r="C33" s="204" t="s">
        <v>1</v>
      </c>
      <c r="D33" s="203">
        <v>45326</v>
      </c>
      <c r="E33" s="205">
        <v>47016</v>
      </c>
      <c r="F33" s="192">
        <f t="shared" si="0"/>
        <v>1690</v>
      </c>
      <c r="G33" s="196"/>
      <c r="H33" s="212" t="s">
        <v>288</v>
      </c>
    </row>
    <row r="34" spans="1:253" ht="50.25" customHeight="1" x14ac:dyDescent="0.3">
      <c r="A34" s="198"/>
      <c r="B34" s="208"/>
      <c r="C34" s="204" t="s">
        <v>115</v>
      </c>
      <c r="D34" s="203">
        <v>13463</v>
      </c>
      <c r="E34" s="205">
        <v>14546</v>
      </c>
      <c r="F34" s="192">
        <f t="shared" si="0"/>
        <v>1083</v>
      </c>
      <c r="G34" s="196"/>
      <c r="H34" s="210" t="s">
        <v>301</v>
      </c>
    </row>
    <row r="35" spans="1:253" ht="108.75" customHeight="1" x14ac:dyDescent="0.3">
      <c r="A35" s="198"/>
      <c r="B35" s="211"/>
      <c r="C35" s="199" t="s">
        <v>119</v>
      </c>
      <c r="D35" s="203">
        <v>3782</v>
      </c>
      <c r="E35" s="203">
        <v>4382</v>
      </c>
      <c r="F35" s="192">
        <f t="shared" si="0"/>
        <v>600</v>
      </c>
      <c r="G35" s="196"/>
      <c r="H35" s="206" t="s">
        <v>303</v>
      </c>
    </row>
    <row r="36" spans="1:253" ht="108.75" customHeight="1" x14ac:dyDescent="0.3">
      <c r="A36" s="198"/>
      <c r="B36" s="211"/>
      <c r="C36" s="199" t="s">
        <v>83</v>
      </c>
      <c r="D36" s="203">
        <v>9618</v>
      </c>
      <c r="E36" s="203">
        <v>10948</v>
      </c>
      <c r="F36" s="192">
        <f t="shared" si="0"/>
        <v>1330</v>
      </c>
      <c r="G36" s="196"/>
      <c r="H36" s="213" t="s">
        <v>279</v>
      </c>
    </row>
    <row r="37" spans="1:253" ht="33.75" customHeight="1" x14ac:dyDescent="0.3">
      <c r="A37" s="198"/>
      <c r="B37" s="211"/>
      <c r="C37" s="199" t="s">
        <v>290</v>
      </c>
      <c r="D37" s="203">
        <v>518</v>
      </c>
      <c r="E37" s="203">
        <v>518</v>
      </c>
      <c r="F37" s="192"/>
      <c r="G37" s="196"/>
      <c r="H37" s="213" t="s">
        <v>291</v>
      </c>
    </row>
    <row r="38" spans="1:253" ht="24.75" customHeight="1" x14ac:dyDescent="0.3">
      <c r="A38" s="198"/>
      <c r="B38" s="214" t="s">
        <v>34</v>
      </c>
      <c r="C38" s="199"/>
      <c r="D38" s="215">
        <f>SUM(D39:D46)</f>
        <v>30775</v>
      </c>
      <c r="E38" s="215">
        <f>SUM(E39:E46)</f>
        <v>37943</v>
      </c>
      <c r="F38" s="192">
        <f t="shared" si="0"/>
        <v>7168</v>
      </c>
      <c r="G38" s="196"/>
      <c r="H38" s="197"/>
    </row>
    <row r="39" spans="1:253" ht="44.25" customHeight="1" x14ac:dyDescent="0.3">
      <c r="A39" s="198"/>
      <c r="B39" s="214"/>
      <c r="C39" s="199" t="s">
        <v>84</v>
      </c>
      <c r="D39" s="203">
        <v>1080</v>
      </c>
      <c r="E39" s="203">
        <v>1080</v>
      </c>
      <c r="F39" s="192">
        <f t="shared" si="0"/>
        <v>0</v>
      </c>
      <c r="G39" s="196"/>
      <c r="H39" s="206" t="s">
        <v>214</v>
      </c>
    </row>
    <row r="40" spans="1:253" ht="96" customHeight="1" x14ac:dyDescent="0.3">
      <c r="A40" s="198"/>
      <c r="B40" s="214"/>
      <c r="C40" s="199" t="s">
        <v>112</v>
      </c>
      <c r="D40" s="203">
        <v>4336</v>
      </c>
      <c r="E40" s="203">
        <v>5160</v>
      </c>
      <c r="F40" s="192">
        <f t="shared" si="0"/>
        <v>824</v>
      </c>
      <c r="G40" s="196"/>
      <c r="H40" s="206" t="s">
        <v>286</v>
      </c>
    </row>
    <row r="41" spans="1:253" ht="42.75" customHeight="1" x14ac:dyDescent="0.3">
      <c r="A41" s="198"/>
      <c r="B41" s="214"/>
      <c r="C41" s="199" t="s">
        <v>106</v>
      </c>
      <c r="D41" s="216">
        <v>10752</v>
      </c>
      <c r="E41" s="216">
        <v>13440</v>
      </c>
      <c r="F41" s="192">
        <f t="shared" si="0"/>
        <v>2688</v>
      </c>
      <c r="G41" s="196"/>
      <c r="H41" s="206" t="s">
        <v>280</v>
      </c>
    </row>
    <row r="42" spans="1:253" ht="62.25" customHeight="1" x14ac:dyDescent="0.3">
      <c r="A42" s="198"/>
      <c r="B42" s="214"/>
      <c r="C42" s="199" t="s">
        <v>93</v>
      </c>
      <c r="D42" s="203">
        <v>3600</v>
      </c>
      <c r="E42" s="203">
        <v>6000</v>
      </c>
      <c r="F42" s="192">
        <f t="shared" si="0"/>
        <v>2400</v>
      </c>
      <c r="G42" s="196"/>
      <c r="H42" s="206" t="s">
        <v>287</v>
      </c>
    </row>
    <row r="43" spans="1:253" ht="51.75" customHeight="1" x14ac:dyDescent="0.3">
      <c r="A43" s="198"/>
      <c r="B43" s="214"/>
      <c r="C43" s="199" t="s">
        <v>94</v>
      </c>
      <c r="D43" s="203">
        <v>750</v>
      </c>
      <c r="E43" s="203">
        <v>1950</v>
      </c>
      <c r="F43" s="192">
        <f t="shared" si="0"/>
        <v>1200</v>
      </c>
      <c r="G43" s="196"/>
      <c r="H43" s="206" t="s">
        <v>281</v>
      </c>
    </row>
    <row r="44" spans="1:253" ht="33.75" customHeight="1" x14ac:dyDescent="0.3">
      <c r="A44" s="198"/>
      <c r="B44" s="214"/>
      <c r="C44" s="199" t="s">
        <v>166</v>
      </c>
      <c r="D44" s="203">
        <v>6600</v>
      </c>
      <c r="E44" s="203">
        <v>6600</v>
      </c>
      <c r="F44" s="192"/>
      <c r="G44" s="196"/>
      <c r="H44" s="206" t="s">
        <v>203</v>
      </c>
    </row>
    <row r="45" spans="1:253" ht="45" customHeight="1" x14ac:dyDescent="0.3">
      <c r="A45" s="198"/>
      <c r="B45" s="214"/>
      <c r="C45" s="199" t="s">
        <v>114</v>
      </c>
      <c r="D45" s="203">
        <v>2544</v>
      </c>
      <c r="E45" s="203">
        <v>2600</v>
      </c>
      <c r="F45" s="192">
        <f t="shared" si="0"/>
        <v>56</v>
      </c>
      <c r="G45" s="196"/>
      <c r="H45" s="206" t="s">
        <v>282</v>
      </c>
    </row>
    <row r="46" spans="1:253" ht="30.75" customHeight="1" x14ac:dyDescent="0.3">
      <c r="A46" s="198"/>
      <c r="B46" s="214"/>
      <c r="C46" s="199" t="s">
        <v>122</v>
      </c>
      <c r="D46" s="203">
        <v>1113</v>
      </c>
      <c r="E46" s="203">
        <v>1113</v>
      </c>
      <c r="F46" s="192"/>
      <c r="G46" s="196"/>
      <c r="H46" s="206" t="s">
        <v>216</v>
      </c>
      <c r="IQ46" s="22"/>
      <c r="IR46" s="22"/>
      <c r="IS46" s="22"/>
    </row>
    <row r="47" spans="1:253" ht="24.75" customHeight="1" x14ac:dyDescent="0.3">
      <c r="A47" s="217"/>
      <c r="B47" s="211" t="s">
        <v>49</v>
      </c>
      <c r="C47" s="199" t="s">
        <v>47</v>
      </c>
      <c r="D47" s="215">
        <f>SUM(D48:D56)</f>
        <v>68173</v>
      </c>
      <c r="E47" s="215">
        <f>SUM(E48:E56)</f>
        <v>68173</v>
      </c>
      <c r="F47" s="192"/>
      <c r="G47" s="196"/>
      <c r="H47" s="206"/>
      <c r="IQ47" s="22"/>
      <c r="IR47" s="22"/>
      <c r="IS47" s="22"/>
    </row>
    <row r="48" spans="1:253" ht="54" customHeight="1" x14ac:dyDescent="0.3">
      <c r="A48" s="217"/>
      <c r="B48" s="218"/>
      <c r="C48" s="204" t="s">
        <v>8</v>
      </c>
      <c r="D48" s="203">
        <v>4096</v>
      </c>
      <c r="E48" s="203">
        <v>4096</v>
      </c>
      <c r="F48" s="192"/>
      <c r="G48" s="219"/>
      <c r="H48" s="206" t="s">
        <v>228</v>
      </c>
      <c r="J48" s="113"/>
      <c r="IQ48" s="22"/>
      <c r="IR48" s="22"/>
      <c r="IS48" s="22"/>
    </row>
    <row r="49" spans="1:253" ht="36" customHeight="1" x14ac:dyDescent="0.3">
      <c r="A49" s="217"/>
      <c r="B49" s="220"/>
      <c r="C49" s="204" t="s">
        <v>7</v>
      </c>
      <c r="D49" s="203">
        <v>5040</v>
      </c>
      <c r="E49" s="203">
        <v>5040</v>
      </c>
      <c r="F49" s="192"/>
      <c r="G49" s="196"/>
      <c r="H49" s="206" t="s">
        <v>204</v>
      </c>
      <c r="J49" s="113"/>
      <c r="IQ49" s="22"/>
      <c r="IR49" s="22"/>
      <c r="IS49" s="22"/>
    </row>
    <row r="50" spans="1:253" ht="42.75" customHeight="1" x14ac:dyDescent="0.3">
      <c r="A50" s="217"/>
      <c r="B50" s="220"/>
      <c r="C50" s="204" t="s">
        <v>173</v>
      </c>
      <c r="D50" s="203">
        <v>1141</v>
      </c>
      <c r="E50" s="203">
        <v>1141</v>
      </c>
      <c r="F50" s="192"/>
      <c r="G50" s="196"/>
      <c r="H50" s="206" t="s">
        <v>227</v>
      </c>
      <c r="J50" s="113"/>
      <c r="IQ50" s="22"/>
      <c r="IR50" s="22"/>
      <c r="IS50" s="22"/>
    </row>
    <row r="51" spans="1:253" ht="46.5" customHeight="1" x14ac:dyDescent="0.3">
      <c r="A51" s="217"/>
      <c r="B51" s="218"/>
      <c r="C51" s="204" t="s">
        <v>5</v>
      </c>
      <c r="D51" s="203">
        <v>1366</v>
      </c>
      <c r="E51" s="203">
        <v>1366</v>
      </c>
      <c r="F51" s="192"/>
      <c r="G51" s="196"/>
      <c r="H51" s="206" t="s">
        <v>185</v>
      </c>
      <c r="J51" s="113"/>
      <c r="IQ51" s="22"/>
      <c r="IR51" s="22"/>
      <c r="IS51" s="22"/>
    </row>
    <row r="52" spans="1:253" ht="36" customHeight="1" x14ac:dyDescent="0.3">
      <c r="A52" s="217"/>
      <c r="B52" s="218"/>
      <c r="C52" s="204" t="s">
        <v>13</v>
      </c>
      <c r="D52" s="203">
        <v>1200</v>
      </c>
      <c r="E52" s="203">
        <v>1200</v>
      </c>
      <c r="F52" s="192"/>
      <c r="G52" s="196"/>
      <c r="H52" s="206" t="s">
        <v>215</v>
      </c>
      <c r="J52" s="113"/>
      <c r="IQ52" s="22"/>
      <c r="IR52" s="22"/>
      <c r="IS52" s="22"/>
    </row>
    <row r="53" spans="1:253" ht="36" customHeight="1" x14ac:dyDescent="0.3">
      <c r="A53" s="217"/>
      <c r="B53" s="218"/>
      <c r="C53" s="204" t="s">
        <v>6</v>
      </c>
      <c r="D53" s="203">
        <v>500</v>
      </c>
      <c r="E53" s="203">
        <v>500</v>
      </c>
      <c r="F53" s="192"/>
      <c r="G53" s="196"/>
      <c r="H53" s="206" t="s">
        <v>2</v>
      </c>
      <c r="J53" s="113"/>
      <c r="IQ53" s="22"/>
      <c r="IR53" s="22"/>
      <c r="IS53" s="22"/>
    </row>
    <row r="54" spans="1:253" ht="36" customHeight="1" x14ac:dyDescent="0.3">
      <c r="A54" s="217"/>
      <c r="B54" s="218"/>
      <c r="C54" s="204" t="s">
        <v>17</v>
      </c>
      <c r="D54" s="203">
        <v>50000</v>
      </c>
      <c r="E54" s="203">
        <v>50000</v>
      </c>
      <c r="F54" s="192"/>
      <c r="G54" s="196"/>
      <c r="H54" s="221" t="s">
        <v>285</v>
      </c>
      <c r="J54" s="113"/>
      <c r="IQ54" s="22"/>
      <c r="IR54" s="22"/>
      <c r="IS54" s="22"/>
    </row>
    <row r="55" spans="1:253" ht="42.75" customHeight="1" x14ac:dyDescent="0.3">
      <c r="A55" s="217"/>
      <c r="B55" s="220"/>
      <c r="C55" s="204" t="s">
        <v>98</v>
      </c>
      <c r="D55" s="203">
        <v>600</v>
      </c>
      <c r="E55" s="203">
        <v>600</v>
      </c>
      <c r="F55" s="192"/>
      <c r="G55" s="196"/>
      <c r="H55" s="212" t="s">
        <v>184</v>
      </c>
      <c r="J55" s="113"/>
      <c r="IQ55" s="22"/>
      <c r="IR55" s="22"/>
      <c r="IS55" s="22"/>
    </row>
    <row r="56" spans="1:253" ht="53.25" customHeight="1" x14ac:dyDescent="0.3">
      <c r="A56" s="217"/>
      <c r="B56" s="218"/>
      <c r="C56" s="204" t="s">
        <v>124</v>
      </c>
      <c r="D56" s="203">
        <v>4230</v>
      </c>
      <c r="E56" s="203">
        <v>4230</v>
      </c>
      <c r="F56" s="192"/>
      <c r="G56" s="196"/>
      <c r="H56" s="212" t="s">
        <v>284</v>
      </c>
      <c r="J56" s="113"/>
      <c r="IQ56" s="22"/>
      <c r="IR56" s="22"/>
      <c r="IS56" s="22"/>
    </row>
    <row r="57" spans="1:253" ht="24.75" customHeight="1" x14ac:dyDescent="0.3">
      <c r="A57" s="198" t="s">
        <v>35</v>
      </c>
      <c r="B57" s="199"/>
      <c r="C57" s="199"/>
      <c r="D57" s="215">
        <f>D58</f>
        <v>1000</v>
      </c>
      <c r="E57" s="215">
        <f>E58</f>
        <v>1000</v>
      </c>
      <c r="F57" s="192"/>
      <c r="G57" s="196"/>
      <c r="H57" s="197"/>
    </row>
    <row r="58" spans="1:253" ht="24.75" customHeight="1" x14ac:dyDescent="0.3">
      <c r="A58" s="249"/>
      <c r="B58" s="199" t="s">
        <v>35</v>
      </c>
      <c r="C58" s="199"/>
      <c r="D58" s="215">
        <f>D59</f>
        <v>1000</v>
      </c>
      <c r="E58" s="215">
        <f>E59</f>
        <v>1000</v>
      </c>
      <c r="F58" s="192"/>
      <c r="G58" s="196"/>
      <c r="H58" s="197"/>
    </row>
    <row r="59" spans="1:253" ht="24.75" customHeight="1" x14ac:dyDescent="0.3">
      <c r="A59" s="249"/>
      <c r="B59" s="199"/>
      <c r="C59" s="199" t="s">
        <v>35</v>
      </c>
      <c r="D59" s="203">
        <v>1000</v>
      </c>
      <c r="E59" s="203">
        <v>1000</v>
      </c>
      <c r="F59" s="192"/>
      <c r="G59" s="196"/>
      <c r="H59" s="197" t="s">
        <v>96</v>
      </c>
    </row>
    <row r="60" spans="1:253" ht="24.75" customHeight="1" x14ac:dyDescent="0.3">
      <c r="A60" s="198" t="s">
        <v>46</v>
      </c>
      <c r="B60" s="199"/>
      <c r="C60" s="199"/>
      <c r="D60" s="215">
        <f t="shared" ref="D60" si="1">D61</f>
        <v>18550</v>
      </c>
      <c r="E60" s="215">
        <f t="shared" ref="E60:E61" si="2">E61</f>
        <v>18550</v>
      </c>
      <c r="F60" s="192"/>
      <c r="G60" s="196"/>
      <c r="H60" s="197"/>
    </row>
    <row r="61" spans="1:253" ht="24.75" customHeight="1" x14ac:dyDescent="0.3">
      <c r="A61" s="249"/>
      <c r="B61" s="199" t="s">
        <v>46</v>
      </c>
      <c r="C61" s="199"/>
      <c r="D61" s="215">
        <v>18550</v>
      </c>
      <c r="E61" s="215">
        <f t="shared" si="2"/>
        <v>18550</v>
      </c>
      <c r="F61" s="192"/>
      <c r="G61" s="196"/>
      <c r="H61" s="197"/>
    </row>
    <row r="62" spans="1:253" ht="24.75" customHeight="1" thickBot="1" x14ac:dyDescent="0.35">
      <c r="A62" s="250"/>
      <c r="B62" s="222"/>
      <c r="C62" s="222" t="s">
        <v>201</v>
      </c>
      <c r="D62" s="223">
        <v>18550</v>
      </c>
      <c r="E62" s="224">
        <v>18550</v>
      </c>
      <c r="F62" s="192"/>
      <c r="G62" s="225"/>
      <c r="H62" s="226"/>
    </row>
    <row r="63" spans="1:253" ht="26.25" customHeight="1" x14ac:dyDescent="0.3">
      <c r="A63" s="110"/>
      <c r="B63" s="111"/>
      <c r="C63" s="111"/>
      <c r="D63" s="110"/>
      <c r="E63" s="110"/>
      <c r="F63" s="110"/>
      <c r="G63" s="110"/>
      <c r="H63" s="112"/>
    </row>
    <row r="64" spans="1:253" x14ac:dyDescent="0.3">
      <c r="A64" s="110"/>
      <c r="B64" s="111"/>
      <c r="C64" s="111"/>
      <c r="D64" s="110"/>
      <c r="E64" s="110"/>
      <c r="F64" s="110"/>
      <c r="G64" s="110"/>
      <c r="H64" s="112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1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K5" sqref="K5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0" t="s">
        <v>233</v>
      </c>
      <c r="B1" s="280"/>
      <c r="C1" s="280"/>
      <c r="D1" s="281"/>
      <c r="E1" s="280"/>
      <c r="F1" s="280"/>
      <c r="G1" s="280"/>
      <c r="H1" s="281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1"/>
    </row>
    <row r="2" spans="1:21" ht="24.75" customHeight="1" x14ac:dyDescent="0.3">
      <c r="A2" s="282" t="s">
        <v>78</v>
      </c>
      <c r="B2" s="282"/>
      <c r="C2" s="98"/>
      <c r="E2" s="4"/>
      <c r="F2" s="4"/>
      <c r="G2" s="5"/>
      <c r="I2" s="97"/>
      <c r="J2" s="5"/>
      <c r="K2" s="7" t="s">
        <v>117</v>
      </c>
      <c r="L2" s="7"/>
      <c r="M2" s="5"/>
      <c r="N2" s="5"/>
      <c r="O2" s="5"/>
      <c r="P2" s="5"/>
      <c r="Q2" s="5"/>
      <c r="R2" s="5"/>
      <c r="S2" s="5"/>
      <c r="U2" s="7" t="s">
        <v>78</v>
      </c>
    </row>
    <row r="3" spans="1:21" ht="24" customHeight="1" x14ac:dyDescent="0.3">
      <c r="A3" s="273" t="s">
        <v>72</v>
      </c>
      <c r="B3" s="273" t="s">
        <v>68</v>
      </c>
      <c r="C3" s="273" t="s">
        <v>67</v>
      </c>
      <c r="D3" s="273" t="s">
        <v>66</v>
      </c>
      <c r="E3" s="276" t="s">
        <v>58</v>
      </c>
      <c r="F3" s="277"/>
      <c r="G3" s="262" t="s">
        <v>143</v>
      </c>
      <c r="H3" s="271" t="s">
        <v>138</v>
      </c>
      <c r="I3" s="272"/>
      <c r="J3" s="262" t="s">
        <v>153</v>
      </c>
      <c r="K3" s="264" t="s">
        <v>63</v>
      </c>
      <c r="L3" s="264" t="s">
        <v>126</v>
      </c>
      <c r="M3" s="266"/>
      <c r="N3" s="267"/>
      <c r="O3" s="267"/>
      <c r="P3" s="267"/>
      <c r="Q3" s="267"/>
      <c r="R3" s="267"/>
      <c r="S3" s="268"/>
      <c r="T3" s="269"/>
      <c r="U3" s="260"/>
    </row>
    <row r="4" spans="1:21" ht="24" customHeight="1" x14ac:dyDescent="0.3">
      <c r="A4" s="274"/>
      <c r="B4" s="274"/>
      <c r="C4" s="274"/>
      <c r="D4" s="274"/>
      <c r="E4" s="278"/>
      <c r="F4" s="279"/>
      <c r="G4" s="263"/>
      <c r="H4" s="8" t="s">
        <v>57</v>
      </c>
      <c r="I4" s="9" t="s">
        <v>43</v>
      </c>
      <c r="J4" s="263"/>
      <c r="K4" s="265"/>
      <c r="L4" s="265"/>
      <c r="M4" s="9" t="s">
        <v>156</v>
      </c>
      <c r="N4" s="10" t="s">
        <v>136</v>
      </c>
      <c r="O4" s="9" t="s">
        <v>145</v>
      </c>
      <c r="P4" s="9" t="s">
        <v>140</v>
      </c>
      <c r="Q4" s="9" t="s">
        <v>148</v>
      </c>
      <c r="R4" s="9" t="s">
        <v>139</v>
      </c>
      <c r="S4" s="10" t="s">
        <v>154</v>
      </c>
      <c r="T4" s="270"/>
      <c r="U4" s="261"/>
    </row>
    <row r="5" spans="1:21" ht="30" customHeight="1" x14ac:dyDescent="0.3">
      <c r="A5" s="275"/>
      <c r="B5" s="275"/>
      <c r="C5" s="275"/>
      <c r="D5" s="275"/>
      <c r="E5" s="11">
        <f>SUM(E6:E21)</f>
        <v>46961000</v>
      </c>
      <c r="F5" s="11">
        <f t="shared" ref="F5:G5" si="0">SUM(F6:F21)</f>
        <v>499380000</v>
      </c>
      <c r="G5" s="11">
        <f t="shared" si="0"/>
        <v>49938000</v>
      </c>
      <c r="H5" s="11">
        <f>SUM(H6:H21)</f>
        <v>406</v>
      </c>
      <c r="I5" s="11">
        <f>SUM(I6:I21)</f>
        <v>81222790</v>
      </c>
      <c r="J5" s="11">
        <f t="shared" ref="J5" si="1">SUM(J6:J21)</f>
        <v>10560000</v>
      </c>
      <c r="K5" s="11">
        <f>ROUNDDOWN(SUM(K6:K21),-3)</f>
        <v>641100000</v>
      </c>
      <c r="L5" s="76" t="e">
        <f t="shared" ref="L5:U5" si="2">SUM(L6:L17)</f>
        <v>#REF!</v>
      </c>
      <c r="M5" s="11" t="e">
        <f t="shared" si="2"/>
        <v>#REF!</v>
      </c>
      <c r="N5" s="11" t="e">
        <f t="shared" si="2"/>
        <v>#REF!</v>
      </c>
      <c r="O5" s="11" t="e">
        <f t="shared" si="2"/>
        <v>#REF!</v>
      </c>
      <c r="P5" s="11" t="e">
        <f t="shared" si="2"/>
        <v>#REF!</v>
      </c>
      <c r="Q5" s="11" t="e">
        <f t="shared" si="2"/>
        <v>#REF!</v>
      </c>
      <c r="R5" s="11">
        <f t="shared" si="2"/>
        <v>42361020</v>
      </c>
      <c r="S5" s="11" t="e">
        <f t="shared" si="2"/>
        <v>#REF!</v>
      </c>
      <c r="T5" s="11" t="e">
        <f t="shared" si="2"/>
        <v>#REF!</v>
      </c>
      <c r="U5" s="12" t="e">
        <f t="shared" si="2"/>
        <v>#REF!</v>
      </c>
    </row>
    <row r="6" spans="1:21" ht="30" customHeight="1" x14ac:dyDescent="0.3">
      <c r="A6" s="13">
        <v>1</v>
      </c>
      <c r="B6" s="13" t="s">
        <v>161</v>
      </c>
      <c r="C6" s="13" t="s">
        <v>75</v>
      </c>
      <c r="D6" s="14">
        <v>24</v>
      </c>
      <c r="E6" s="15">
        <v>4887000</v>
      </c>
      <c r="F6" s="15">
        <f t="shared" ref="F6:F17" si="3">E6*12</f>
        <v>58644000</v>
      </c>
      <c r="G6" s="15">
        <f>E6*0.6*2</f>
        <v>5864400</v>
      </c>
      <c r="H6" s="15"/>
      <c r="I6" s="15"/>
      <c r="J6" s="15">
        <f>100000*12</f>
        <v>1200000</v>
      </c>
      <c r="K6" s="77">
        <f>F6+G6+I6+J6</f>
        <v>65708400</v>
      </c>
      <c r="L6" s="77" t="e">
        <f>#REF!+120000</f>
        <v>#REF!</v>
      </c>
      <c r="M6" s="16" t="e">
        <f t="shared" ref="M6:M17" si="4">ROUNDDOWN(L6*2.995%,-1)</f>
        <v>#REF!</v>
      </c>
      <c r="N6" s="16" t="e">
        <f t="shared" ref="N6:N17" si="5">ROUNDDOWN(M6*6.55%,-1)</f>
        <v>#REF!</v>
      </c>
      <c r="O6" s="16" t="e">
        <f t="shared" ref="O6:O17" si="6">ROUNDDOWN(L6*0.045,-1)</f>
        <v>#REF!</v>
      </c>
      <c r="P6" s="16" t="e">
        <f t="shared" ref="P6:P17" si="7">ROUNDDOWN(L6*0.0056,-1)</f>
        <v>#REF!</v>
      </c>
      <c r="Q6" s="16" t="e">
        <f t="shared" ref="Q6:Q17" si="8">ROUNDDOWN(L6*0.009,-1)</f>
        <v>#REF!</v>
      </c>
      <c r="R6" s="16">
        <f t="shared" ref="R6:R17" si="9">ROUNDDOWN(K6/12,-1)</f>
        <v>5475700</v>
      </c>
      <c r="S6" s="16" t="e">
        <f t="shared" ref="S6:S17" si="10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128</v>
      </c>
      <c r="C7" s="19" t="s">
        <v>191</v>
      </c>
      <c r="D7" s="14">
        <v>22</v>
      </c>
      <c r="E7" s="15">
        <v>3974000</v>
      </c>
      <c r="F7" s="15">
        <f t="shared" si="3"/>
        <v>47688000</v>
      </c>
      <c r="G7" s="15">
        <f t="shared" ref="G7:G17" si="11">E7*0.6*2</f>
        <v>4768800</v>
      </c>
      <c r="H7" s="15">
        <v>8</v>
      </c>
      <c r="I7" s="15">
        <f t="shared" ref="I7:I19" si="12">ROUNDDOWN(F7*1/209*1.5*H7,-1)</f>
        <v>2738060</v>
      </c>
      <c r="J7" s="15">
        <f>120000*12</f>
        <v>1440000</v>
      </c>
      <c r="K7" s="77">
        <f t="shared" ref="K7:K19" si="13">F7+G7+I7+J7</f>
        <v>56634860</v>
      </c>
      <c r="L7" s="77" t="e">
        <f>#REF!+120000</f>
        <v>#REF!</v>
      </c>
      <c r="M7" s="16" t="e">
        <f t="shared" si="4"/>
        <v>#REF!</v>
      </c>
      <c r="N7" s="16" t="e">
        <f t="shared" si="5"/>
        <v>#REF!</v>
      </c>
      <c r="O7" s="16" t="e">
        <f t="shared" si="6"/>
        <v>#REF!</v>
      </c>
      <c r="P7" s="16" t="e">
        <f t="shared" si="7"/>
        <v>#REF!</v>
      </c>
      <c r="Q7" s="16" t="e">
        <f t="shared" si="8"/>
        <v>#REF!</v>
      </c>
      <c r="R7" s="16">
        <f t="shared" si="9"/>
        <v>4719570</v>
      </c>
      <c r="S7" s="16" t="e">
        <f t="shared" si="10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190</v>
      </c>
      <c r="C8" s="19" t="s">
        <v>192</v>
      </c>
      <c r="D8" s="14">
        <v>20</v>
      </c>
      <c r="E8" s="15">
        <v>3242000</v>
      </c>
      <c r="F8" s="15">
        <f t="shared" si="3"/>
        <v>38904000</v>
      </c>
      <c r="G8" s="15">
        <f t="shared" si="11"/>
        <v>3890400</v>
      </c>
      <c r="H8" s="15">
        <v>8</v>
      </c>
      <c r="I8" s="15">
        <f t="shared" si="12"/>
        <v>2233720</v>
      </c>
      <c r="J8" s="15">
        <f>40000*12</f>
        <v>480000</v>
      </c>
      <c r="K8" s="77">
        <f t="shared" si="13"/>
        <v>45508120</v>
      </c>
      <c r="L8" s="77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193</v>
      </c>
      <c r="C9" s="13" t="s">
        <v>52</v>
      </c>
      <c r="D9" s="14">
        <v>22</v>
      </c>
      <c r="E9" s="15">
        <v>3340000</v>
      </c>
      <c r="F9" s="15">
        <f t="shared" si="3"/>
        <v>40080000</v>
      </c>
      <c r="G9" s="15">
        <f t="shared" si="11"/>
        <v>4008000</v>
      </c>
      <c r="H9" s="15">
        <v>30</v>
      </c>
      <c r="I9" s="15">
        <f t="shared" si="12"/>
        <v>8629660</v>
      </c>
      <c r="J9" s="15"/>
      <c r="K9" s="77">
        <f t="shared" si="13"/>
        <v>52717660</v>
      </c>
      <c r="L9" s="77" t="e">
        <f>#REF!+120000</f>
        <v>#REF!</v>
      </c>
      <c r="M9" s="16" t="e">
        <f t="shared" si="4"/>
        <v>#REF!</v>
      </c>
      <c r="N9" s="16" t="e">
        <f t="shared" si="5"/>
        <v>#REF!</v>
      </c>
      <c r="O9" s="16" t="e">
        <f t="shared" si="6"/>
        <v>#REF!</v>
      </c>
      <c r="P9" s="16" t="e">
        <f t="shared" si="7"/>
        <v>#REF!</v>
      </c>
      <c r="Q9" s="16" t="e">
        <f t="shared" si="8"/>
        <v>#REF!</v>
      </c>
      <c r="R9" s="16">
        <f t="shared" si="9"/>
        <v>4393130</v>
      </c>
      <c r="S9" s="16" t="e">
        <f t="shared" si="10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193</v>
      </c>
      <c r="C10" s="19" t="s">
        <v>79</v>
      </c>
      <c r="D10" s="14">
        <v>19</v>
      </c>
      <c r="E10" s="15">
        <v>3188000</v>
      </c>
      <c r="F10" s="15">
        <f t="shared" si="3"/>
        <v>38256000</v>
      </c>
      <c r="G10" s="15">
        <f t="shared" si="11"/>
        <v>3825600</v>
      </c>
      <c r="H10" s="15">
        <v>30</v>
      </c>
      <c r="I10" s="15">
        <f t="shared" si="12"/>
        <v>8236930</v>
      </c>
      <c r="J10" s="15">
        <v>1440000</v>
      </c>
      <c r="K10" s="77">
        <f t="shared" si="13"/>
        <v>51758530</v>
      </c>
      <c r="L10" s="77" t="e">
        <f>#REF!+120000</f>
        <v>#REF!</v>
      </c>
      <c r="M10" s="16" t="e">
        <f t="shared" si="4"/>
        <v>#REF!</v>
      </c>
      <c r="N10" s="16" t="e">
        <f t="shared" si="5"/>
        <v>#REF!</v>
      </c>
      <c r="O10" s="16" t="e">
        <f t="shared" si="6"/>
        <v>#REF!</v>
      </c>
      <c r="P10" s="16" t="e">
        <f t="shared" si="7"/>
        <v>#REF!</v>
      </c>
      <c r="Q10" s="16" t="e">
        <f t="shared" si="8"/>
        <v>#REF!</v>
      </c>
      <c r="R10" s="16">
        <f t="shared" si="9"/>
        <v>4313210</v>
      </c>
      <c r="S10" s="16" t="e">
        <f t="shared" si="10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193</v>
      </c>
      <c r="C11" s="19" t="s">
        <v>76</v>
      </c>
      <c r="D11" s="14">
        <v>12</v>
      </c>
      <c r="E11" s="15">
        <v>2743000</v>
      </c>
      <c r="F11" s="15">
        <f t="shared" si="3"/>
        <v>32916000</v>
      </c>
      <c r="G11" s="15">
        <f t="shared" si="11"/>
        <v>3291600</v>
      </c>
      <c r="H11" s="15">
        <v>30</v>
      </c>
      <c r="I11" s="15">
        <f t="shared" si="12"/>
        <v>7087170</v>
      </c>
      <c r="J11" s="15">
        <f>40000*12</f>
        <v>480000</v>
      </c>
      <c r="K11" s="77">
        <f t="shared" si="13"/>
        <v>43774770</v>
      </c>
      <c r="L11" s="77" t="e">
        <f>#REF!+120000</f>
        <v>#REF!</v>
      </c>
      <c r="M11" s="16" t="e">
        <f t="shared" si="4"/>
        <v>#REF!</v>
      </c>
      <c r="N11" s="16" t="e">
        <f t="shared" si="5"/>
        <v>#REF!</v>
      </c>
      <c r="O11" s="16" t="e">
        <f t="shared" si="6"/>
        <v>#REF!</v>
      </c>
      <c r="P11" s="16" t="e">
        <f t="shared" si="7"/>
        <v>#REF!</v>
      </c>
      <c r="Q11" s="16" t="e">
        <f t="shared" si="8"/>
        <v>#REF!</v>
      </c>
      <c r="R11" s="16">
        <f t="shared" si="9"/>
        <v>3647890</v>
      </c>
      <c r="S11" s="16" t="e">
        <f t="shared" si="10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193</v>
      </c>
      <c r="C12" s="19" t="s">
        <v>180</v>
      </c>
      <c r="D12" s="14">
        <v>14</v>
      </c>
      <c r="E12" s="15">
        <v>2877000</v>
      </c>
      <c r="F12" s="15">
        <f t="shared" si="3"/>
        <v>34524000</v>
      </c>
      <c r="G12" s="15">
        <f t="shared" si="11"/>
        <v>3452400</v>
      </c>
      <c r="H12" s="15">
        <v>30</v>
      </c>
      <c r="I12" s="15">
        <f t="shared" si="12"/>
        <v>7433390</v>
      </c>
      <c r="J12" s="15"/>
      <c r="K12" s="77">
        <f t="shared" si="13"/>
        <v>45409790</v>
      </c>
      <c r="L12" s="77" t="e">
        <f>#REF!+120000</f>
        <v>#REF!</v>
      </c>
      <c r="M12" s="16" t="e">
        <f t="shared" si="4"/>
        <v>#REF!</v>
      </c>
      <c r="N12" s="16" t="e">
        <f t="shared" si="5"/>
        <v>#REF!</v>
      </c>
      <c r="O12" s="16" t="e">
        <f t="shared" si="6"/>
        <v>#REF!</v>
      </c>
      <c r="P12" s="16" t="e">
        <f t="shared" si="7"/>
        <v>#REF!</v>
      </c>
      <c r="Q12" s="16" t="e">
        <f t="shared" si="8"/>
        <v>#REF!</v>
      </c>
      <c r="R12" s="16">
        <f t="shared" si="9"/>
        <v>3784140</v>
      </c>
      <c r="S12" s="16" t="e">
        <f t="shared" si="10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193</v>
      </c>
      <c r="C13" s="19" t="s">
        <v>182</v>
      </c>
      <c r="D13" s="14">
        <v>11</v>
      </c>
      <c r="E13" s="15">
        <v>2673000</v>
      </c>
      <c r="F13" s="15">
        <f t="shared" si="3"/>
        <v>32076000</v>
      </c>
      <c r="G13" s="15">
        <f t="shared" si="11"/>
        <v>3207600</v>
      </c>
      <c r="H13" s="15">
        <v>30</v>
      </c>
      <c r="I13" s="15">
        <f t="shared" si="12"/>
        <v>6906310</v>
      </c>
      <c r="J13" s="15">
        <f>40000*12</f>
        <v>480000</v>
      </c>
      <c r="K13" s="77">
        <f t="shared" si="13"/>
        <v>42669910</v>
      </c>
      <c r="L13" s="77" t="e">
        <f>#REF!+120000</f>
        <v>#REF!</v>
      </c>
      <c r="M13" s="16" t="e">
        <f t="shared" si="4"/>
        <v>#REF!</v>
      </c>
      <c r="N13" s="16" t="e">
        <f t="shared" si="5"/>
        <v>#REF!</v>
      </c>
      <c r="O13" s="16" t="e">
        <f t="shared" si="6"/>
        <v>#REF!</v>
      </c>
      <c r="P13" s="16" t="e">
        <f t="shared" si="7"/>
        <v>#REF!</v>
      </c>
      <c r="Q13" s="16" t="e">
        <f t="shared" si="8"/>
        <v>#REF!</v>
      </c>
      <c r="R13" s="16">
        <f t="shared" si="9"/>
        <v>3555820</v>
      </c>
      <c r="S13" s="16" t="e">
        <f t="shared" si="10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193</v>
      </c>
      <c r="C14" s="19" t="s">
        <v>194</v>
      </c>
      <c r="D14" s="14">
        <v>9</v>
      </c>
      <c r="E14" s="15">
        <v>2496000</v>
      </c>
      <c r="F14" s="15">
        <f t="shared" si="3"/>
        <v>29952000</v>
      </c>
      <c r="G14" s="15">
        <f t="shared" si="11"/>
        <v>2995200</v>
      </c>
      <c r="H14" s="15">
        <v>30</v>
      </c>
      <c r="I14" s="15">
        <f t="shared" si="12"/>
        <v>6448990</v>
      </c>
      <c r="J14" s="15">
        <f>100000*12</f>
        <v>1200000</v>
      </c>
      <c r="K14" s="77">
        <f t="shared" si="13"/>
        <v>40596190</v>
      </c>
      <c r="L14" s="77" t="e">
        <f>#REF!+120000</f>
        <v>#REF!</v>
      </c>
      <c r="M14" s="16" t="e">
        <f t="shared" si="4"/>
        <v>#REF!</v>
      </c>
      <c r="N14" s="16" t="e">
        <f t="shared" si="5"/>
        <v>#REF!</v>
      </c>
      <c r="O14" s="16" t="e">
        <f t="shared" si="6"/>
        <v>#REF!</v>
      </c>
      <c r="P14" s="16" t="e">
        <f t="shared" si="7"/>
        <v>#REF!</v>
      </c>
      <c r="Q14" s="16" t="e">
        <f t="shared" si="8"/>
        <v>#REF!</v>
      </c>
      <c r="R14" s="16">
        <f t="shared" si="9"/>
        <v>3383010</v>
      </c>
      <c r="S14" s="16" t="e">
        <f t="shared" si="10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193</v>
      </c>
      <c r="C15" s="19" t="s">
        <v>195</v>
      </c>
      <c r="D15" s="14">
        <v>10</v>
      </c>
      <c r="E15" s="15">
        <v>2588000</v>
      </c>
      <c r="F15" s="15">
        <f t="shared" si="3"/>
        <v>31056000</v>
      </c>
      <c r="G15" s="15">
        <f t="shared" si="11"/>
        <v>3105600</v>
      </c>
      <c r="H15" s="15">
        <v>30</v>
      </c>
      <c r="I15" s="15">
        <f t="shared" si="12"/>
        <v>6686690</v>
      </c>
      <c r="J15" s="15"/>
      <c r="K15" s="77">
        <f t="shared" si="13"/>
        <v>40848290</v>
      </c>
      <c r="L15" s="77" t="e">
        <f>#REF!+120000</f>
        <v>#REF!</v>
      </c>
      <c r="M15" s="16" t="e">
        <f t="shared" si="4"/>
        <v>#REF!</v>
      </c>
      <c r="N15" s="16" t="e">
        <f t="shared" si="5"/>
        <v>#REF!</v>
      </c>
      <c r="O15" s="16" t="e">
        <f t="shared" si="6"/>
        <v>#REF!</v>
      </c>
      <c r="P15" s="16" t="e">
        <f t="shared" si="7"/>
        <v>#REF!</v>
      </c>
      <c r="Q15" s="16" t="e">
        <f t="shared" si="8"/>
        <v>#REF!</v>
      </c>
      <c r="R15" s="16">
        <f t="shared" si="9"/>
        <v>3404020</v>
      </c>
      <c r="S15" s="16" t="e">
        <f t="shared" si="10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193</v>
      </c>
      <c r="C16" s="19" t="s">
        <v>209</v>
      </c>
      <c r="D16" s="14">
        <v>5</v>
      </c>
      <c r="E16" s="15">
        <v>2148000</v>
      </c>
      <c r="F16" s="15">
        <f t="shared" si="3"/>
        <v>25776000</v>
      </c>
      <c r="G16" s="15">
        <f t="shared" si="11"/>
        <v>2577600</v>
      </c>
      <c r="H16" s="15">
        <v>30</v>
      </c>
      <c r="I16" s="15">
        <f t="shared" si="12"/>
        <v>5549850</v>
      </c>
      <c r="J16" s="15">
        <f>40000*12</f>
        <v>480000</v>
      </c>
      <c r="K16" s="77">
        <f t="shared" si="13"/>
        <v>34383450</v>
      </c>
      <c r="L16" s="77" t="e">
        <f>#REF!+120000</f>
        <v>#REF!</v>
      </c>
      <c r="M16" s="16" t="e">
        <f t="shared" si="4"/>
        <v>#REF!</v>
      </c>
      <c r="N16" s="16" t="e">
        <f t="shared" si="5"/>
        <v>#REF!</v>
      </c>
      <c r="O16" s="16" t="e">
        <f t="shared" si="6"/>
        <v>#REF!</v>
      </c>
      <c r="P16" s="16" t="e">
        <f t="shared" si="7"/>
        <v>#REF!</v>
      </c>
      <c r="Q16" s="16" t="e">
        <f t="shared" si="8"/>
        <v>#REF!</v>
      </c>
      <c r="R16" s="16">
        <f t="shared" si="9"/>
        <v>2865280</v>
      </c>
      <c r="S16" s="16" t="e">
        <f t="shared" si="10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196</v>
      </c>
      <c r="C17" s="19" t="s">
        <v>197</v>
      </c>
      <c r="D17" s="14">
        <v>7</v>
      </c>
      <c r="E17" s="15">
        <v>2113000</v>
      </c>
      <c r="F17" s="15">
        <f t="shared" si="3"/>
        <v>25356000</v>
      </c>
      <c r="G17" s="15">
        <f t="shared" si="11"/>
        <v>2535600</v>
      </c>
      <c r="H17" s="15">
        <v>30</v>
      </c>
      <c r="I17" s="15">
        <f t="shared" si="12"/>
        <v>5459420</v>
      </c>
      <c r="J17" s="15">
        <f>40000*12</f>
        <v>480000</v>
      </c>
      <c r="K17" s="77">
        <f t="shared" si="13"/>
        <v>33831020</v>
      </c>
      <c r="L17" s="77" t="e">
        <f>#REF!+120000</f>
        <v>#REF!</v>
      </c>
      <c r="M17" s="16" t="e">
        <f t="shared" si="4"/>
        <v>#REF!</v>
      </c>
      <c r="N17" s="16" t="e">
        <f t="shared" si="5"/>
        <v>#REF!</v>
      </c>
      <c r="O17" s="16" t="e">
        <f t="shared" si="6"/>
        <v>#REF!</v>
      </c>
      <c r="P17" s="16" t="e">
        <f t="shared" si="7"/>
        <v>#REF!</v>
      </c>
      <c r="Q17" s="16" t="e">
        <f t="shared" si="8"/>
        <v>#REF!</v>
      </c>
      <c r="R17" s="16">
        <f t="shared" si="9"/>
        <v>2819250</v>
      </c>
      <c r="S17" s="16" t="e">
        <f t="shared" si="10"/>
        <v>#REF!</v>
      </c>
      <c r="T17" s="17" t="e">
        <f>#REF!+#REF!+S17-#REF!</f>
        <v>#REF!</v>
      </c>
      <c r="U17" s="18" t="e">
        <f>#REF!+#REF!+S17</f>
        <v>#REF!</v>
      </c>
    </row>
    <row r="18" spans="1:21" ht="29.25" customHeight="1" x14ac:dyDescent="0.3">
      <c r="A18" s="13">
        <v>13</v>
      </c>
      <c r="B18" s="228" t="s">
        <v>241</v>
      </c>
      <c r="C18" s="228" t="s">
        <v>242</v>
      </c>
      <c r="D18" s="227">
        <v>10</v>
      </c>
      <c r="E18" s="15">
        <v>2673000</v>
      </c>
      <c r="F18" s="15">
        <f>E18*6</f>
        <v>16038000</v>
      </c>
      <c r="G18" s="15">
        <f>E18*0.6</f>
        <v>1603800</v>
      </c>
      <c r="H18" s="15">
        <v>30</v>
      </c>
      <c r="I18" s="15">
        <f t="shared" si="12"/>
        <v>3453150</v>
      </c>
      <c r="J18" s="15">
        <f>120000*6</f>
        <v>720000</v>
      </c>
      <c r="K18" s="77">
        <f t="shared" si="13"/>
        <v>21814950</v>
      </c>
      <c r="L18" s="21"/>
    </row>
    <row r="19" spans="1:21" ht="29.25" customHeight="1" x14ac:dyDescent="0.3">
      <c r="A19" s="13">
        <v>14</v>
      </c>
      <c r="B19" s="228" t="s">
        <v>241</v>
      </c>
      <c r="C19" s="228" t="s">
        <v>243</v>
      </c>
      <c r="D19" s="227">
        <v>10</v>
      </c>
      <c r="E19" s="15">
        <v>2673000</v>
      </c>
      <c r="F19" s="15">
        <f t="shared" ref="F19:F21" si="14">E19*6</f>
        <v>16038000</v>
      </c>
      <c r="G19" s="15">
        <f t="shared" ref="G19:G21" si="15">E19*0.6</f>
        <v>1603800</v>
      </c>
      <c r="H19" s="15">
        <v>30</v>
      </c>
      <c r="I19" s="15">
        <f t="shared" si="12"/>
        <v>3453150</v>
      </c>
      <c r="J19" s="15">
        <f t="shared" ref="J19:J21" si="16">120000*6</f>
        <v>720000</v>
      </c>
      <c r="K19" s="77">
        <f t="shared" si="13"/>
        <v>21814950</v>
      </c>
      <c r="L19" s="5"/>
    </row>
    <row r="20" spans="1:21" ht="33.75" customHeight="1" x14ac:dyDescent="0.3">
      <c r="A20" s="13">
        <v>15</v>
      </c>
      <c r="B20" s="228" t="s">
        <v>241</v>
      </c>
      <c r="C20" s="228" t="s">
        <v>246</v>
      </c>
      <c r="D20" s="227">
        <v>10</v>
      </c>
      <c r="E20" s="15">
        <v>2673000</v>
      </c>
      <c r="F20" s="15">
        <f t="shared" si="14"/>
        <v>16038000</v>
      </c>
      <c r="G20" s="15">
        <f t="shared" si="15"/>
        <v>1603800</v>
      </c>
      <c r="H20" s="15">
        <v>30</v>
      </c>
      <c r="I20" s="15">
        <f t="shared" ref="I20:I21" si="17">ROUNDDOWN(F20*1/209*1.5*H20,-1)</f>
        <v>3453150</v>
      </c>
      <c r="J20" s="15">
        <f t="shared" si="16"/>
        <v>720000</v>
      </c>
      <c r="K20" s="77">
        <f t="shared" ref="K20:K21" si="18">F20+G20+I20+J20</f>
        <v>21814950</v>
      </c>
    </row>
    <row r="21" spans="1:21" ht="33.75" customHeight="1" x14ac:dyDescent="0.3">
      <c r="A21" s="13">
        <v>16</v>
      </c>
      <c r="B21" s="228" t="s">
        <v>241</v>
      </c>
      <c r="C21" s="228" t="s">
        <v>247</v>
      </c>
      <c r="D21" s="227">
        <v>10</v>
      </c>
      <c r="E21" s="15">
        <v>2673000</v>
      </c>
      <c r="F21" s="15">
        <f t="shared" si="14"/>
        <v>16038000</v>
      </c>
      <c r="G21" s="15">
        <f t="shared" si="15"/>
        <v>1603800</v>
      </c>
      <c r="H21" s="15">
        <v>30</v>
      </c>
      <c r="I21" s="15">
        <f t="shared" si="17"/>
        <v>3453150</v>
      </c>
      <c r="J21" s="15">
        <f t="shared" si="16"/>
        <v>720000</v>
      </c>
      <c r="K21" s="77">
        <f t="shared" si="18"/>
        <v>21814950</v>
      </c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2"/>
  <sheetViews>
    <sheetView topLeftCell="E1" zoomScaleNormal="100" workbookViewId="0">
      <selection activeCell="G11" sqref="G11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0" t="s">
        <v>234</v>
      </c>
      <c r="B1" s="280"/>
      <c r="C1" s="280"/>
      <c r="D1" s="280"/>
      <c r="E1" s="281"/>
      <c r="F1" s="281"/>
      <c r="G1" s="280"/>
      <c r="H1" s="280"/>
      <c r="I1" s="281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ht="26.25" customHeight="1" x14ac:dyDescent="0.3">
      <c r="A2" s="90" t="s">
        <v>78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117</v>
      </c>
    </row>
    <row r="3" spans="1:19" ht="19.5" customHeight="1" x14ac:dyDescent="0.3">
      <c r="A3" s="273" t="s">
        <v>72</v>
      </c>
      <c r="B3" s="273" t="s">
        <v>68</v>
      </c>
      <c r="C3" s="273" t="s">
        <v>67</v>
      </c>
      <c r="D3" s="273" t="s">
        <v>66</v>
      </c>
      <c r="E3" s="276" t="s">
        <v>58</v>
      </c>
      <c r="F3" s="277"/>
      <c r="G3" s="262" t="s">
        <v>143</v>
      </c>
      <c r="H3" s="271" t="s">
        <v>138</v>
      </c>
      <c r="I3" s="272"/>
      <c r="J3" s="262" t="s">
        <v>153</v>
      </c>
      <c r="K3" s="264" t="s">
        <v>53</v>
      </c>
      <c r="L3" s="264" t="s">
        <v>165</v>
      </c>
      <c r="M3" s="287" t="s">
        <v>12</v>
      </c>
      <c r="N3" s="287"/>
      <c r="O3" s="287"/>
      <c r="P3" s="287"/>
      <c r="Q3" s="287"/>
      <c r="R3" s="287"/>
      <c r="S3" s="287"/>
    </row>
    <row r="4" spans="1:19" ht="14.25" customHeight="1" x14ac:dyDescent="0.3">
      <c r="A4" s="274"/>
      <c r="B4" s="274"/>
      <c r="C4" s="274"/>
      <c r="D4" s="274"/>
      <c r="E4" s="278"/>
      <c r="F4" s="279"/>
      <c r="G4" s="263"/>
      <c r="H4" s="8" t="s">
        <v>57</v>
      </c>
      <c r="I4" s="9" t="s">
        <v>43</v>
      </c>
      <c r="J4" s="263"/>
      <c r="K4" s="286"/>
      <c r="L4" s="286"/>
      <c r="M4" s="287"/>
      <c r="N4" s="287"/>
      <c r="O4" s="287"/>
      <c r="P4" s="287"/>
      <c r="Q4" s="287"/>
      <c r="R4" s="287"/>
      <c r="S4" s="287"/>
    </row>
    <row r="5" spans="1:19" ht="46.5" customHeight="1" x14ac:dyDescent="0.3">
      <c r="A5" s="275"/>
      <c r="B5" s="275"/>
      <c r="C5" s="275"/>
      <c r="D5" s="275"/>
      <c r="E5" s="11"/>
      <c r="F5" s="11"/>
      <c r="G5" s="11"/>
      <c r="H5" s="11"/>
      <c r="I5" s="11"/>
      <c r="J5" s="11"/>
      <c r="K5" s="265"/>
      <c r="L5" s="265"/>
      <c r="M5" s="10" t="s">
        <v>223</v>
      </c>
      <c r="N5" s="10" t="s">
        <v>224</v>
      </c>
      <c r="O5" s="10" t="s">
        <v>222</v>
      </c>
      <c r="P5" s="10" t="s">
        <v>213</v>
      </c>
      <c r="Q5" s="10" t="s">
        <v>225</v>
      </c>
      <c r="R5" s="10" t="s">
        <v>170</v>
      </c>
      <c r="S5" s="91" t="s">
        <v>63</v>
      </c>
    </row>
    <row r="6" spans="1:19" ht="30" customHeight="1" x14ac:dyDescent="0.3">
      <c r="A6" s="283" t="s">
        <v>61</v>
      </c>
      <c r="B6" s="284"/>
      <c r="C6" s="283"/>
      <c r="D6" s="285"/>
      <c r="E6" s="11">
        <f>SUM(E7:E22)</f>
        <v>46961000</v>
      </c>
      <c r="F6" s="11">
        <f t="shared" ref="F6:J6" si="0">SUM(F7:F22)</f>
        <v>499380000</v>
      </c>
      <c r="G6" s="11">
        <f t="shared" si="0"/>
        <v>49938000</v>
      </c>
      <c r="H6" s="11">
        <f t="shared" si="0"/>
        <v>406</v>
      </c>
      <c r="I6" s="11">
        <f t="shared" si="0"/>
        <v>81222790</v>
      </c>
      <c r="J6" s="11">
        <f t="shared" si="0"/>
        <v>10560000</v>
      </c>
      <c r="K6" s="11">
        <f>ROUNDDOWN(SUM(K7:K22),-3)</f>
        <v>641100000</v>
      </c>
      <c r="L6" s="11">
        <f>ROUNDDOWN(SUM(L7:L22),-3)</f>
        <v>641100000</v>
      </c>
      <c r="M6" s="11">
        <f>SUM(M7:M22)</f>
        <v>21430000</v>
      </c>
      <c r="N6" s="11">
        <f t="shared" ref="N6:R6" si="1">SUM(N7:N22)</f>
        <v>2630000</v>
      </c>
      <c r="O6" s="11">
        <f t="shared" si="1"/>
        <v>29040000</v>
      </c>
      <c r="P6" s="11">
        <f t="shared" si="1"/>
        <v>5160000</v>
      </c>
      <c r="Q6" s="11">
        <f t="shared" si="1"/>
        <v>6710000</v>
      </c>
      <c r="R6" s="11">
        <f t="shared" si="1"/>
        <v>53425065.833333336</v>
      </c>
      <c r="S6" s="76">
        <f>ROUNDDOWN(SUM(S7:S22),-3)</f>
        <v>118395000</v>
      </c>
    </row>
    <row r="7" spans="1:19" ht="30" customHeight="1" x14ac:dyDescent="0.3">
      <c r="A7" s="13">
        <v>1</v>
      </c>
      <c r="B7" s="13" t="s">
        <v>161</v>
      </c>
      <c r="C7" s="13" t="s">
        <v>75</v>
      </c>
      <c r="D7" s="14">
        <v>24</v>
      </c>
      <c r="E7" s="15">
        <f>급여산출기초1!E6</f>
        <v>4887000</v>
      </c>
      <c r="F7" s="15">
        <f t="shared" ref="F7:F18" si="2">E7*12</f>
        <v>58644000</v>
      </c>
      <c r="G7" s="15">
        <f>급여산출기초1!G6</f>
        <v>5864400</v>
      </c>
      <c r="H7" s="20"/>
      <c r="I7" s="15"/>
      <c r="J7" s="15">
        <f>100000*12</f>
        <v>1200000</v>
      </c>
      <c r="K7" s="77">
        <f>F7+G7+I7+J7</f>
        <v>65708400</v>
      </c>
      <c r="L7" s="77">
        <f t="shared" ref="L7:L18" si="3">K7</f>
        <v>65708400</v>
      </c>
      <c r="M7" s="16">
        <v>2080000</v>
      </c>
      <c r="N7" s="16">
        <v>260000</v>
      </c>
      <c r="O7" s="16">
        <v>2810000</v>
      </c>
      <c r="P7" s="16">
        <v>500000</v>
      </c>
      <c r="Q7" s="16">
        <v>650000</v>
      </c>
      <c r="R7" s="16">
        <f>L7/12</f>
        <v>5475700</v>
      </c>
      <c r="S7" s="77">
        <f t="shared" ref="S7:S18" si="4">SUM(M7:R7)</f>
        <v>11775700</v>
      </c>
    </row>
    <row r="8" spans="1:19" ht="30" customHeight="1" x14ac:dyDescent="0.3">
      <c r="A8" s="13">
        <v>2</v>
      </c>
      <c r="B8" s="19" t="s">
        <v>128</v>
      </c>
      <c r="C8" s="19" t="s">
        <v>64</v>
      </c>
      <c r="D8" s="14">
        <v>22</v>
      </c>
      <c r="E8" s="15">
        <f>급여산출기초1!E7</f>
        <v>3974000</v>
      </c>
      <c r="F8" s="15">
        <f t="shared" si="2"/>
        <v>47688000</v>
      </c>
      <c r="G8" s="15">
        <f>급여산출기초1!G7</f>
        <v>4768800</v>
      </c>
      <c r="H8" s="20">
        <v>8</v>
      </c>
      <c r="I8" s="15">
        <f>급여산출기초1!I7</f>
        <v>2738060</v>
      </c>
      <c r="J8" s="15">
        <f>120000*12</f>
        <v>1440000</v>
      </c>
      <c r="K8" s="77">
        <f t="shared" ref="K8:K20" si="5">F8+G8+I8+J8</f>
        <v>56634860</v>
      </c>
      <c r="L8" s="77">
        <f t="shared" si="3"/>
        <v>56634860</v>
      </c>
      <c r="M8" s="16">
        <v>1800000</v>
      </c>
      <c r="N8" s="16">
        <v>220000</v>
      </c>
      <c r="O8" s="16">
        <v>2430000</v>
      </c>
      <c r="P8" s="16">
        <v>440000</v>
      </c>
      <c r="Q8" s="16">
        <v>560000</v>
      </c>
      <c r="R8" s="16">
        <f t="shared" ref="R8:R20" si="6">L8/12</f>
        <v>4719571.666666667</v>
      </c>
      <c r="S8" s="77">
        <f t="shared" si="4"/>
        <v>10169571.666666668</v>
      </c>
    </row>
    <row r="9" spans="1:19" ht="30" customHeight="1" x14ac:dyDescent="0.3">
      <c r="A9" s="13">
        <v>3</v>
      </c>
      <c r="B9" s="19" t="s">
        <v>55</v>
      </c>
      <c r="C9" s="19" t="s">
        <v>79</v>
      </c>
      <c r="D9" s="14">
        <v>20</v>
      </c>
      <c r="E9" s="15">
        <f>급여산출기초1!E8</f>
        <v>3242000</v>
      </c>
      <c r="F9" s="15">
        <f t="shared" si="2"/>
        <v>38904000</v>
      </c>
      <c r="G9" s="15">
        <f>급여산출기초1!G8</f>
        <v>3890400</v>
      </c>
      <c r="H9" s="20">
        <v>8</v>
      </c>
      <c r="I9" s="15">
        <f>급여산출기초1!I8</f>
        <v>2233720</v>
      </c>
      <c r="J9" s="15">
        <f>40000*12</f>
        <v>480000</v>
      </c>
      <c r="K9" s="77">
        <f t="shared" si="5"/>
        <v>45508120</v>
      </c>
      <c r="L9" s="77">
        <f t="shared" si="3"/>
        <v>45508120</v>
      </c>
      <c r="M9" s="16">
        <v>1440000</v>
      </c>
      <c r="N9" s="16">
        <v>180000</v>
      </c>
      <c r="O9" s="16">
        <v>1950000</v>
      </c>
      <c r="P9" s="16">
        <v>350000</v>
      </c>
      <c r="Q9" s="16">
        <v>450000</v>
      </c>
      <c r="R9" s="16">
        <f t="shared" si="6"/>
        <v>3792343.3333333335</v>
      </c>
      <c r="S9" s="77">
        <f t="shared" si="4"/>
        <v>8162343.333333334</v>
      </c>
    </row>
    <row r="10" spans="1:19" ht="30" customHeight="1" x14ac:dyDescent="0.3">
      <c r="A10" s="13">
        <v>4</v>
      </c>
      <c r="B10" s="19" t="s">
        <v>129</v>
      </c>
      <c r="C10" s="19" t="s">
        <v>175</v>
      </c>
      <c r="D10" s="14">
        <v>22</v>
      </c>
      <c r="E10" s="15">
        <f>급여산출기초1!E9</f>
        <v>3340000</v>
      </c>
      <c r="F10" s="15">
        <f t="shared" si="2"/>
        <v>40080000</v>
      </c>
      <c r="G10" s="15">
        <f>급여산출기초1!G9</f>
        <v>4008000</v>
      </c>
      <c r="H10" s="20">
        <v>30</v>
      </c>
      <c r="I10" s="15">
        <f>급여산출기초1!I9</f>
        <v>8629660</v>
      </c>
      <c r="J10" s="15"/>
      <c r="K10" s="77">
        <f t="shared" si="5"/>
        <v>52717660</v>
      </c>
      <c r="L10" s="77">
        <f t="shared" si="3"/>
        <v>52717660</v>
      </c>
      <c r="M10" s="16">
        <v>1670000</v>
      </c>
      <c r="N10" s="16">
        <v>200000</v>
      </c>
      <c r="O10" s="16">
        <v>2250000</v>
      </c>
      <c r="P10" s="16">
        <v>400000</v>
      </c>
      <c r="Q10" s="16">
        <v>520000</v>
      </c>
      <c r="R10" s="16">
        <f t="shared" si="6"/>
        <v>4393138.333333333</v>
      </c>
      <c r="S10" s="77">
        <f t="shared" si="4"/>
        <v>9433138.3333333321</v>
      </c>
    </row>
    <row r="11" spans="1:19" ht="30" customHeight="1" x14ac:dyDescent="0.3">
      <c r="A11" s="13">
        <v>5</v>
      </c>
      <c r="B11" s="19" t="s">
        <v>130</v>
      </c>
      <c r="C11" s="19" t="s">
        <v>59</v>
      </c>
      <c r="D11" s="14">
        <v>19</v>
      </c>
      <c r="E11" s="15">
        <f>급여산출기초1!E10</f>
        <v>3188000</v>
      </c>
      <c r="F11" s="15">
        <f t="shared" si="2"/>
        <v>38256000</v>
      </c>
      <c r="G11" s="15">
        <f>급여산출기초1!G10</f>
        <v>3825600</v>
      </c>
      <c r="H11" s="20">
        <v>30</v>
      </c>
      <c r="I11" s="15">
        <f>급여산출기초1!I10</f>
        <v>8236930</v>
      </c>
      <c r="J11" s="15">
        <v>1440000</v>
      </c>
      <c r="K11" s="77">
        <f t="shared" si="5"/>
        <v>51758530</v>
      </c>
      <c r="L11" s="77">
        <f t="shared" si="3"/>
        <v>51758530</v>
      </c>
      <c r="M11" s="16">
        <v>1640000</v>
      </c>
      <c r="N11" s="16">
        <v>200000</v>
      </c>
      <c r="O11" s="16">
        <v>2220000</v>
      </c>
      <c r="P11" s="16">
        <v>400000</v>
      </c>
      <c r="Q11" s="16">
        <v>510000</v>
      </c>
      <c r="R11" s="16">
        <f t="shared" si="6"/>
        <v>4313210.833333333</v>
      </c>
      <c r="S11" s="77">
        <f t="shared" si="4"/>
        <v>9283210.8333333321</v>
      </c>
    </row>
    <row r="12" spans="1:19" ht="30" customHeight="1" x14ac:dyDescent="0.3">
      <c r="A12" s="13">
        <v>6</v>
      </c>
      <c r="B12" s="19" t="s">
        <v>199</v>
      </c>
      <c r="C12" s="19" t="s">
        <v>76</v>
      </c>
      <c r="D12" s="14">
        <v>12</v>
      </c>
      <c r="E12" s="15">
        <f>급여산출기초1!E11</f>
        <v>2743000</v>
      </c>
      <c r="F12" s="15">
        <f t="shared" si="2"/>
        <v>32916000</v>
      </c>
      <c r="G12" s="15">
        <f>급여산출기초1!G11</f>
        <v>3291600</v>
      </c>
      <c r="H12" s="20">
        <v>30</v>
      </c>
      <c r="I12" s="15">
        <f>급여산출기초1!I11</f>
        <v>7087170</v>
      </c>
      <c r="J12" s="15">
        <v>480000</v>
      </c>
      <c r="K12" s="77">
        <f t="shared" si="5"/>
        <v>43774770</v>
      </c>
      <c r="L12" s="77">
        <f t="shared" si="3"/>
        <v>43774770</v>
      </c>
      <c r="M12" s="16">
        <v>1340000</v>
      </c>
      <c r="N12" s="16">
        <v>160000</v>
      </c>
      <c r="O12" s="16">
        <v>1810000</v>
      </c>
      <c r="P12" s="16">
        <v>320000</v>
      </c>
      <c r="Q12" s="16">
        <v>420000</v>
      </c>
      <c r="R12" s="16">
        <f t="shared" si="6"/>
        <v>3647897.5</v>
      </c>
      <c r="S12" s="77">
        <f t="shared" si="4"/>
        <v>7697897.5</v>
      </c>
    </row>
    <row r="13" spans="1:19" ht="30" customHeight="1" x14ac:dyDescent="0.3">
      <c r="A13" s="13">
        <v>7</v>
      </c>
      <c r="B13" s="19" t="s">
        <v>132</v>
      </c>
      <c r="C13" s="19" t="s">
        <v>176</v>
      </c>
      <c r="D13" s="14">
        <v>14</v>
      </c>
      <c r="E13" s="15">
        <f>급여산출기초1!E12</f>
        <v>2877000</v>
      </c>
      <c r="F13" s="15">
        <f t="shared" si="2"/>
        <v>34524000</v>
      </c>
      <c r="G13" s="15">
        <f>급여산출기초1!G12</f>
        <v>3452400</v>
      </c>
      <c r="H13" s="20">
        <v>30</v>
      </c>
      <c r="I13" s="15">
        <f>급여산출기초1!I12</f>
        <v>7433390</v>
      </c>
      <c r="J13" s="15"/>
      <c r="K13" s="77">
        <f t="shared" si="5"/>
        <v>45409790</v>
      </c>
      <c r="L13" s="77">
        <f t="shared" si="3"/>
        <v>45409790</v>
      </c>
      <c r="M13" s="16">
        <v>1340000</v>
      </c>
      <c r="N13" s="16">
        <v>170000</v>
      </c>
      <c r="O13" s="16">
        <v>1900000</v>
      </c>
      <c r="P13" s="16">
        <v>340000</v>
      </c>
      <c r="Q13" s="16">
        <v>440000</v>
      </c>
      <c r="R13" s="16">
        <f t="shared" si="6"/>
        <v>3784149.1666666665</v>
      </c>
      <c r="S13" s="77">
        <f t="shared" si="4"/>
        <v>7974149.166666666</v>
      </c>
    </row>
    <row r="14" spans="1:19" ht="30" customHeight="1" x14ac:dyDescent="0.3">
      <c r="A14" s="13">
        <v>8</v>
      </c>
      <c r="B14" s="19" t="s">
        <v>200</v>
      </c>
      <c r="C14" s="19" t="s">
        <v>177</v>
      </c>
      <c r="D14" s="14">
        <v>11</v>
      </c>
      <c r="E14" s="15">
        <f>급여산출기초1!E13</f>
        <v>2673000</v>
      </c>
      <c r="F14" s="15">
        <f t="shared" si="2"/>
        <v>32076000</v>
      </c>
      <c r="G14" s="15">
        <f>급여산출기초1!G13</f>
        <v>3207600</v>
      </c>
      <c r="H14" s="20">
        <v>30</v>
      </c>
      <c r="I14" s="15">
        <f>급여산출기초1!I13</f>
        <v>6906310</v>
      </c>
      <c r="J14" s="15">
        <f>40000*12</f>
        <v>480000</v>
      </c>
      <c r="K14" s="77">
        <f t="shared" si="5"/>
        <v>42669910</v>
      </c>
      <c r="L14" s="77">
        <f t="shared" si="3"/>
        <v>42669910</v>
      </c>
      <c r="M14" s="16">
        <v>1300000</v>
      </c>
      <c r="N14" s="16">
        <v>160000</v>
      </c>
      <c r="O14" s="16">
        <v>1760000</v>
      </c>
      <c r="P14" s="16">
        <v>310000</v>
      </c>
      <c r="Q14" s="16">
        <v>410000</v>
      </c>
      <c r="R14" s="16">
        <f t="shared" si="6"/>
        <v>3555825.8333333335</v>
      </c>
      <c r="S14" s="77">
        <f t="shared" si="4"/>
        <v>7495825.833333334</v>
      </c>
    </row>
    <row r="15" spans="1:19" ht="30" customHeight="1" x14ac:dyDescent="0.3">
      <c r="A15" s="13">
        <v>9</v>
      </c>
      <c r="B15" s="19" t="s">
        <v>164</v>
      </c>
      <c r="C15" s="19" t="s">
        <v>178</v>
      </c>
      <c r="D15" s="14">
        <v>9</v>
      </c>
      <c r="E15" s="15">
        <f>급여산출기초1!E14</f>
        <v>2496000</v>
      </c>
      <c r="F15" s="15">
        <f t="shared" si="2"/>
        <v>29952000</v>
      </c>
      <c r="G15" s="15">
        <f>급여산출기초1!G14</f>
        <v>2995200</v>
      </c>
      <c r="H15" s="20">
        <v>30</v>
      </c>
      <c r="I15" s="15">
        <f>급여산출기초1!I14</f>
        <v>6448990</v>
      </c>
      <c r="J15" s="15">
        <f>100000*12</f>
        <v>1200000</v>
      </c>
      <c r="K15" s="77">
        <f t="shared" si="5"/>
        <v>40596190</v>
      </c>
      <c r="L15" s="77">
        <f t="shared" si="3"/>
        <v>40596190</v>
      </c>
      <c r="M15" s="16">
        <v>1240000</v>
      </c>
      <c r="N15" s="16">
        <v>150000</v>
      </c>
      <c r="O15" s="16">
        <v>1670000</v>
      </c>
      <c r="P15" s="16">
        <v>300000</v>
      </c>
      <c r="Q15" s="16">
        <v>390000</v>
      </c>
      <c r="R15" s="16">
        <f t="shared" si="6"/>
        <v>3383015.8333333335</v>
      </c>
      <c r="S15" s="77">
        <f t="shared" si="4"/>
        <v>7133015.833333334</v>
      </c>
    </row>
    <row r="16" spans="1:19" ht="30" customHeight="1" x14ac:dyDescent="0.3">
      <c r="A16" s="13">
        <v>10</v>
      </c>
      <c r="B16" s="19" t="s">
        <v>127</v>
      </c>
      <c r="C16" s="19" t="s">
        <v>179</v>
      </c>
      <c r="D16" s="14">
        <v>10</v>
      </c>
      <c r="E16" s="15">
        <f>급여산출기초1!E15</f>
        <v>2588000</v>
      </c>
      <c r="F16" s="15">
        <f t="shared" si="2"/>
        <v>31056000</v>
      </c>
      <c r="G16" s="15">
        <f>급여산출기초1!G15</f>
        <v>3105600</v>
      </c>
      <c r="H16" s="20">
        <v>30</v>
      </c>
      <c r="I16" s="15">
        <f>급여산출기초1!I15</f>
        <v>6686690</v>
      </c>
      <c r="J16" s="15"/>
      <c r="K16" s="77">
        <f t="shared" si="5"/>
        <v>40848290</v>
      </c>
      <c r="L16" s="77">
        <f t="shared" si="3"/>
        <v>40848290</v>
      </c>
      <c r="M16" s="16">
        <v>1230000</v>
      </c>
      <c r="N16" s="16">
        <v>150000</v>
      </c>
      <c r="O16" s="16">
        <v>1670000</v>
      </c>
      <c r="P16" s="16">
        <v>300000</v>
      </c>
      <c r="Q16" s="16">
        <v>380000</v>
      </c>
      <c r="R16" s="16">
        <f t="shared" si="6"/>
        <v>3404024.1666666665</v>
      </c>
      <c r="S16" s="77">
        <f t="shared" si="4"/>
        <v>7134024.166666666</v>
      </c>
    </row>
    <row r="17" spans="1:19" ht="30" customHeight="1" x14ac:dyDescent="0.3">
      <c r="A17" s="13">
        <v>11</v>
      </c>
      <c r="B17" s="19" t="s">
        <v>131</v>
      </c>
      <c r="C17" s="19" t="s">
        <v>180</v>
      </c>
      <c r="D17" s="14">
        <v>5</v>
      </c>
      <c r="E17" s="15">
        <f>급여산출기초1!E16</f>
        <v>2148000</v>
      </c>
      <c r="F17" s="15">
        <f t="shared" si="2"/>
        <v>25776000</v>
      </c>
      <c r="G17" s="15">
        <f>급여산출기초1!G16</f>
        <v>2577600</v>
      </c>
      <c r="H17" s="20">
        <v>30</v>
      </c>
      <c r="I17" s="15">
        <f>급여산출기초1!I16</f>
        <v>5549850</v>
      </c>
      <c r="J17" s="15">
        <f>급여산출기초1!J16</f>
        <v>480000</v>
      </c>
      <c r="K17" s="77">
        <f t="shared" si="5"/>
        <v>34383450</v>
      </c>
      <c r="L17" s="77">
        <f t="shared" si="3"/>
        <v>34383450</v>
      </c>
      <c r="M17" s="16">
        <v>1050000</v>
      </c>
      <c r="N17" s="16">
        <v>130000</v>
      </c>
      <c r="O17" s="16">
        <v>1420000</v>
      </c>
      <c r="P17" s="16">
        <v>250000</v>
      </c>
      <c r="Q17" s="16">
        <v>330000</v>
      </c>
      <c r="R17" s="16">
        <f t="shared" si="6"/>
        <v>2865287.5</v>
      </c>
      <c r="S17" s="77">
        <f t="shared" si="4"/>
        <v>6045287.5</v>
      </c>
    </row>
    <row r="18" spans="1:19" ht="30" customHeight="1" x14ac:dyDescent="0.3">
      <c r="A18" s="13">
        <v>12</v>
      </c>
      <c r="B18" s="19" t="s">
        <v>198</v>
      </c>
      <c r="C18" s="19" t="s">
        <v>181</v>
      </c>
      <c r="D18" s="14">
        <v>7</v>
      </c>
      <c r="E18" s="15">
        <f>급여산출기초1!E17</f>
        <v>2113000</v>
      </c>
      <c r="F18" s="15">
        <f t="shared" si="2"/>
        <v>25356000</v>
      </c>
      <c r="G18" s="15">
        <f>급여산출기초1!G17</f>
        <v>2535600</v>
      </c>
      <c r="H18" s="20">
        <v>30</v>
      </c>
      <c r="I18" s="15">
        <f>급여산출기초1!I17</f>
        <v>5459420</v>
      </c>
      <c r="J18" s="15">
        <f>40000*12</f>
        <v>480000</v>
      </c>
      <c r="K18" s="77">
        <f t="shared" si="5"/>
        <v>33831020</v>
      </c>
      <c r="L18" s="77">
        <f t="shared" si="3"/>
        <v>33831020</v>
      </c>
      <c r="M18" s="16">
        <v>1060000</v>
      </c>
      <c r="N18" s="16">
        <v>130000</v>
      </c>
      <c r="O18" s="16">
        <v>1430000</v>
      </c>
      <c r="P18" s="16">
        <v>250000</v>
      </c>
      <c r="Q18" s="16">
        <v>330000</v>
      </c>
      <c r="R18" s="16">
        <f t="shared" si="6"/>
        <v>2819251.6666666665</v>
      </c>
      <c r="S18" s="77">
        <f t="shared" si="4"/>
        <v>6019251.666666666</v>
      </c>
    </row>
    <row r="19" spans="1:19" ht="27.75" customHeight="1" x14ac:dyDescent="0.3">
      <c r="A19" s="13">
        <v>13</v>
      </c>
      <c r="B19" s="228" t="s">
        <v>244</v>
      </c>
      <c r="C19" s="227"/>
      <c r="D19" s="227">
        <v>10</v>
      </c>
      <c r="E19" s="15">
        <f>급여산출기초1!E18</f>
        <v>2673000</v>
      </c>
      <c r="F19" s="15">
        <f>E19*6</f>
        <v>16038000</v>
      </c>
      <c r="G19" s="15">
        <f>급여산출기초1!G18</f>
        <v>1603800</v>
      </c>
      <c r="H19" s="20">
        <v>30</v>
      </c>
      <c r="I19" s="15">
        <f>급여산출기초1!I18</f>
        <v>3453150</v>
      </c>
      <c r="J19" s="15">
        <f>120000*6</f>
        <v>720000</v>
      </c>
      <c r="K19" s="77">
        <f t="shared" si="5"/>
        <v>21814950</v>
      </c>
      <c r="L19" s="77">
        <f t="shared" ref="L19:L20" si="7">K19</f>
        <v>21814950</v>
      </c>
      <c r="M19" s="16">
        <v>1060000</v>
      </c>
      <c r="N19" s="16">
        <v>130000</v>
      </c>
      <c r="O19" s="16">
        <v>1430000</v>
      </c>
      <c r="P19" s="16">
        <v>250000</v>
      </c>
      <c r="Q19" s="16">
        <v>330000</v>
      </c>
      <c r="R19" s="16">
        <f t="shared" si="6"/>
        <v>1817912.5</v>
      </c>
      <c r="S19" s="77">
        <f t="shared" ref="S19:S20" si="8">SUM(M19:R19)</f>
        <v>5017912.5</v>
      </c>
    </row>
    <row r="20" spans="1:19" ht="27.75" customHeight="1" x14ac:dyDescent="0.3">
      <c r="A20" s="13">
        <v>14</v>
      </c>
      <c r="B20" s="228" t="s">
        <v>245</v>
      </c>
      <c r="C20" s="227"/>
      <c r="D20" s="227">
        <v>10</v>
      </c>
      <c r="E20" s="15">
        <f>급여산출기초1!E19</f>
        <v>2673000</v>
      </c>
      <c r="F20" s="15">
        <f t="shared" ref="F20:F22" si="9">E20*6</f>
        <v>16038000</v>
      </c>
      <c r="G20" s="15">
        <f>급여산출기초1!G19</f>
        <v>1603800</v>
      </c>
      <c r="H20" s="20">
        <v>30</v>
      </c>
      <c r="I20" s="15">
        <f>급여산출기초1!I19</f>
        <v>3453150</v>
      </c>
      <c r="J20" s="15">
        <f t="shared" ref="J20:J22" si="10">120000*6</f>
        <v>720000</v>
      </c>
      <c r="K20" s="77">
        <f t="shared" si="5"/>
        <v>21814950</v>
      </c>
      <c r="L20" s="77">
        <f t="shared" si="7"/>
        <v>21814950</v>
      </c>
      <c r="M20" s="16">
        <v>1060000</v>
      </c>
      <c r="N20" s="16">
        <v>130000</v>
      </c>
      <c r="O20" s="16">
        <v>1430000</v>
      </c>
      <c r="P20" s="16">
        <v>250000</v>
      </c>
      <c r="Q20" s="16">
        <v>330000</v>
      </c>
      <c r="R20" s="16">
        <f t="shared" si="6"/>
        <v>1817912.5</v>
      </c>
      <c r="S20" s="77">
        <f t="shared" si="8"/>
        <v>5017912.5</v>
      </c>
    </row>
    <row r="21" spans="1:19" ht="28.5" customHeight="1" x14ac:dyDescent="0.3">
      <c r="A21" s="13">
        <v>15</v>
      </c>
      <c r="B21" s="228" t="s">
        <v>248</v>
      </c>
      <c r="C21" s="227"/>
      <c r="D21" s="227">
        <v>10</v>
      </c>
      <c r="E21" s="15">
        <f>급여산출기초1!E20</f>
        <v>2673000</v>
      </c>
      <c r="F21" s="15">
        <f t="shared" si="9"/>
        <v>16038000</v>
      </c>
      <c r="G21" s="15">
        <f>급여산출기초1!G20</f>
        <v>1603800</v>
      </c>
      <c r="H21" s="20">
        <v>30</v>
      </c>
      <c r="I21" s="15">
        <f>급여산출기초1!I20</f>
        <v>3453150</v>
      </c>
      <c r="J21" s="15">
        <f t="shared" si="10"/>
        <v>720000</v>
      </c>
      <c r="K21" s="77">
        <f t="shared" ref="K21:K22" si="11">F21+G21+I21+J21</f>
        <v>21814950</v>
      </c>
      <c r="L21" s="77">
        <f t="shared" ref="L21:L22" si="12">K21</f>
        <v>21814950</v>
      </c>
      <c r="M21" s="16">
        <v>1060000</v>
      </c>
      <c r="N21" s="16">
        <v>130000</v>
      </c>
      <c r="O21" s="16">
        <v>1430000</v>
      </c>
      <c r="P21" s="16">
        <v>250000</v>
      </c>
      <c r="Q21" s="16">
        <v>330000</v>
      </c>
      <c r="R21" s="16">
        <f t="shared" ref="R21:R22" si="13">L21/12</f>
        <v>1817912.5</v>
      </c>
      <c r="S21" s="77">
        <f t="shared" ref="S21:S22" si="14">SUM(M21:R21)</f>
        <v>5017912.5</v>
      </c>
    </row>
    <row r="22" spans="1:19" ht="25.5" customHeight="1" x14ac:dyDescent="0.3">
      <c r="A22" s="13">
        <v>16</v>
      </c>
      <c r="B22" s="228" t="s">
        <v>249</v>
      </c>
      <c r="C22" s="227"/>
      <c r="D22" s="227">
        <v>10</v>
      </c>
      <c r="E22" s="15">
        <f>급여산출기초1!E21</f>
        <v>2673000</v>
      </c>
      <c r="F22" s="15">
        <f t="shared" si="9"/>
        <v>16038000</v>
      </c>
      <c r="G22" s="15">
        <f>급여산출기초1!G21</f>
        <v>1603800</v>
      </c>
      <c r="H22" s="20">
        <v>30</v>
      </c>
      <c r="I22" s="15">
        <f>급여산출기초1!I21</f>
        <v>3453150</v>
      </c>
      <c r="J22" s="15">
        <f t="shared" si="10"/>
        <v>720000</v>
      </c>
      <c r="K22" s="77">
        <f t="shared" si="11"/>
        <v>21814950</v>
      </c>
      <c r="L22" s="77">
        <f t="shared" si="12"/>
        <v>21814950</v>
      </c>
      <c r="M22" s="16">
        <v>1060000</v>
      </c>
      <c r="N22" s="16">
        <v>130000</v>
      </c>
      <c r="O22" s="16">
        <v>1430000</v>
      </c>
      <c r="P22" s="16">
        <v>250000</v>
      </c>
      <c r="Q22" s="16">
        <v>330000</v>
      </c>
      <c r="R22" s="16">
        <f t="shared" si="13"/>
        <v>1817912.5</v>
      </c>
      <c r="S22" s="77">
        <f t="shared" si="14"/>
        <v>5017912.5</v>
      </c>
    </row>
  </sheetData>
  <mergeCells count="13">
    <mergeCell ref="A1:S1"/>
    <mergeCell ref="K3:K5"/>
    <mergeCell ref="L3:L5"/>
    <mergeCell ref="M3:S4"/>
    <mergeCell ref="G3:G4"/>
    <mergeCell ref="H3:I3"/>
    <mergeCell ref="J3:J4"/>
    <mergeCell ref="A6:D6"/>
    <mergeCell ref="A3:A5"/>
    <mergeCell ref="B3:B5"/>
    <mergeCell ref="D3:D5"/>
    <mergeCell ref="E3:F4"/>
    <mergeCell ref="C3:C5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5"/>
  <sheetViews>
    <sheetView zoomScaleNormal="100" workbookViewId="0">
      <pane xSplit="3" ySplit="4" topLeftCell="D13" activePane="bottomRight" state="frozen"/>
      <selection pane="topRight"/>
      <selection pane="bottomLeft"/>
      <selection pane="bottomRight" activeCell="G32" sqref="G32"/>
    </sheetView>
  </sheetViews>
  <sheetFormatPr defaultColWidth="8.875" defaultRowHeight="16.5" x14ac:dyDescent="0.3"/>
  <cols>
    <col min="1" max="1" width="5.75" style="78" customWidth="1"/>
    <col min="2" max="2" width="16.25" style="79" customWidth="1"/>
    <col min="3" max="3" width="9.25" style="79" bestFit="1" customWidth="1"/>
    <col min="4" max="4" width="7.75" style="79" customWidth="1"/>
    <col min="5" max="5" width="15" style="82" customWidth="1"/>
    <col min="6" max="6" width="16.625" style="82" customWidth="1"/>
    <col min="7" max="7" width="14.125" style="82" customWidth="1"/>
    <col min="8" max="8" width="12.125" style="82" customWidth="1"/>
    <col min="9" max="9" width="14.125" style="82" bestFit="1" customWidth="1"/>
    <col min="10" max="11" width="14.5" style="83" bestFit="1" customWidth="1"/>
    <col min="12" max="12" width="15.75" style="84" bestFit="1" customWidth="1"/>
    <col min="13" max="13" width="14.5" style="83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0" t="s">
        <v>235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</row>
    <row r="2" spans="1:13" ht="24.75" customHeight="1" x14ac:dyDescent="0.15">
      <c r="A2" s="289" t="s">
        <v>150</v>
      </c>
      <c r="B2" s="289"/>
      <c r="C2" s="96"/>
      <c r="E2" s="80"/>
      <c r="F2" s="80"/>
      <c r="G2" s="80"/>
      <c r="H2" s="81"/>
      <c r="I2" s="81"/>
      <c r="M2" s="7" t="s">
        <v>117</v>
      </c>
    </row>
    <row r="3" spans="1:13" ht="30" customHeight="1" thickBot="1" x14ac:dyDescent="0.35">
      <c r="A3" s="86" t="s">
        <v>72</v>
      </c>
      <c r="B3" s="86" t="s">
        <v>68</v>
      </c>
      <c r="C3" s="86" t="s">
        <v>67</v>
      </c>
      <c r="D3" s="86" t="s">
        <v>66</v>
      </c>
      <c r="E3" s="86" t="s">
        <v>58</v>
      </c>
      <c r="F3" s="92" t="s">
        <v>152</v>
      </c>
      <c r="G3" s="86" t="s">
        <v>157</v>
      </c>
      <c r="H3" s="86" t="s">
        <v>153</v>
      </c>
      <c r="I3" s="86" t="s">
        <v>138</v>
      </c>
      <c r="J3" s="87" t="s">
        <v>147</v>
      </c>
      <c r="K3" s="87" t="s">
        <v>65</v>
      </c>
      <c r="L3" s="88" t="s">
        <v>50</v>
      </c>
      <c r="M3" s="87" t="s">
        <v>142</v>
      </c>
    </row>
    <row r="4" spans="1:13" ht="30" customHeight="1" thickTop="1" x14ac:dyDescent="0.3">
      <c r="A4" s="288" t="s">
        <v>61</v>
      </c>
      <c r="B4" s="288"/>
      <c r="C4" s="288"/>
      <c r="D4" s="288"/>
      <c r="E4" s="89">
        <f>SUM(E5:E20)</f>
        <v>46961000</v>
      </c>
      <c r="F4" s="89">
        <f>SUM(F5:F20)</f>
        <v>499380000</v>
      </c>
      <c r="G4" s="89">
        <f t="shared" ref="G4:I4" si="0">SUM(G5:G20)</f>
        <v>49938000</v>
      </c>
      <c r="H4" s="89">
        <f t="shared" si="0"/>
        <v>10560000</v>
      </c>
      <c r="I4" s="89">
        <f t="shared" si="0"/>
        <v>81222790</v>
      </c>
      <c r="J4" s="89">
        <f t="shared" ref="J4" si="1">SUM(J5:J20)</f>
        <v>141720790</v>
      </c>
      <c r="K4" s="89">
        <f>ROUNDDOWN(SUM(K5:K20),-3)</f>
        <v>641100000</v>
      </c>
      <c r="L4" s="89">
        <f>ROUNDDOWN(SUM(L5:L20),-3)</f>
        <v>89754000</v>
      </c>
      <c r="M4" s="89">
        <f>ROUNDDOWN(SUM(M5:M20),-3)</f>
        <v>551346000</v>
      </c>
    </row>
    <row r="5" spans="1:13" ht="30" customHeight="1" x14ac:dyDescent="0.3">
      <c r="A5" s="13">
        <v>1</v>
      </c>
      <c r="B5" s="13" t="s">
        <v>161</v>
      </c>
      <c r="C5" s="13" t="s">
        <v>75</v>
      </c>
      <c r="D5" s="14">
        <v>24</v>
      </c>
      <c r="E5" s="15">
        <f>급여산출기초1!E6</f>
        <v>4887000</v>
      </c>
      <c r="F5" s="15">
        <f t="shared" ref="F5:F16" si="2">E5*12</f>
        <v>58644000</v>
      </c>
      <c r="G5" s="15">
        <f>사회보험!G7</f>
        <v>5864400</v>
      </c>
      <c r="H5" s="15">
        <f>100000*12</f>
        <v>1200000</v>
      </c>
      <c r="I5" s="116">
        <f>급여산출기초1!I6</f>
        <v>0</v>
      </c>
      <c r="J5" s="85">
        <f t="shared" ref="J5:J18" si="3">SUM(G5:I5)</f>
        <v>7064400</v>
      </c>
      <c r="K5" s="85">
        <f t="shared" ref="K5:K18" si="4">F5+J5</f>
        <v>65708400</v>
      </c>
      <c r="L5" s="85">
        <f>ROUNDDOWN(K5*14%,-1)</f>
        <v>9199170</v>
      </c>
      <c r="M5" s="85">
        <f t="shared" ref="M5:M16" si="5">K5-L5</f>
        <v>56509230</v>
      </c>
    </row>
    <row r="6" spans="1:13" ht="30" customHeight="1" x14ac:dyDescent="0.3">
      <c r="A6" s="13">
        <v>2</v>
      </c>
      <c r="B6" s="19" t="s">
        <v>128</v>
      </c>
      <c r="C6" s="19" t="s">
        <v>191</v>
      </c>
      <c r="D6" s="14">
        <v>22</v>
      </c>
      <c r="E6" s="15">
        <f>급여산출기초1!E7</f>
        <v>3974000</v>
      </c>
      <c r="F6" s="15">
        <f t="shared" si="2"/>
        <v>47688000</v>
      </c>
      <c r="G6" s="15">
        <f>사회보험!G8</f>
        <v>4768800</v>
      </c>
      <c r="H6" s="15">
        <f>120000*12</f>
        <v>1440000</v>
      </c>
      <c r="I6" s="116">
        <f>급여산출기초1!I7</f>
        <v>2738060</v>
      </c>
      <c r="J6" s="85">
        <f t="shared" si="3"/>
        <v>8946860</v>
      </c>
      <c r="K6" s="85">
        <f t="shared" si="4"/>
        <v>56634860</v>
      </c>
      <c r="L6" s="85">
        <f t="shared" ref="L6:L16" si="6">ROUNDDOWN(K6*14%,-1)</f>
        <v>7928880</v>
      </c>
      <c r="M6" s="85">
        <f t="shared" si="5"/>
        <v>48705980</v>
      </c>
    </row>
    <row r="7" spans="1:13" ht="30" customHeight="1" x14ac:dyDescent="0.3">
      <c r="A7" s="13">
        <v>3</v>
      </c>
      <c r="B7" s="19" t="s">
        <v>190</v>
      </c>
      <c r="C7" s="19" t="s">
        <v>192</v>
      </c>
      <c r="D7" s="14">
        <v>20</v>
      </c>
      <c r="E7" s="15">
        <f>급여산출기초1!E8</f>
        <v>3242000</v>
      </c>
      <c r="F7" s="15">
        <f t="shared" si="2"/>
        <v>38904000</v>
      </c>
      <c r="G7" s="15">
        <f>사회보험!G9</f>
        <v>3890400</v>
      </c>
      <c r="H7" s="15">
        <f>40000*12</f>
        <v>480000</v>
      </c>
      <c r="I7" s="116">
        <f>급여산출기초1!I8</f>
        <v>2233720</v>
      </c>
      <c r="J7" s="85">
        <f t="shared" si="3"/>
        <v>6604120</v>
      </c>
      <c r="K7" s="85">
        <f t="shared" si="4"/>
        <v>45508120</v>
      </c>
      <c r="L7" s="85">
        <f t="shared" si="6"/>
        <v>6371130</v>
      </c>
      <c r="M7" s="85">
        <f t="shared" si="5"/>
        <v>39136990</v>
      </c>
    </row>
    <row r="8" spans="1:13" ht="30" customHeight="1" x14ac:dyDescent="0.3">
      <c r="A8" s="13">
        <v>4</v>
      </c>
      <c r="B8" s="13" t="s">
        <v>193</v>
      </c>
      <c r="C8" s="13" t="s">
        <v>52</v>
      </c>
      <c r="D8" s="14">
        <v>22</v>
      </c>
      <c r="E8" s="15">
        <f>급여산출기초1!E9</f>
        <v>3340000</v>
      </c>
      <c r="F8" s="15">
        <f t="shared" si="2"/>
        <v>40080000</v>
      </c>
      <c r="G8" s="15">
        <f>사회보험!G10</f>
        <v>4008000</v>
      </c>
      <c r="H8" s="15"/>
      <c r="I8" s="116">
        <f>급여산출기초1!I9</f>
        <v>8629660</v>
      </c>
      <c r="J8" s="85">
        <f t="shared" si="3"/>
        <v>12637660</v>
      </c>
      <c r="K8" s="85">
        <f t="shared" si="4"/>
        <v>52717660</v>
      </c>
      <c r="L8" s="85">
        <f t="shared" si="6"/>
        <v>7380470</v>
      </c>
      <c r="M8" s="85">
        <f t="shared" si="5"/>
        <v>45337190</v>
      </c>
    </row>
    <row r="9" spans="1:13" ht="30" customHeight="1" x14ac:dyDescent="0.3">
      <c r="A9" s="13">
        <v>5</v>
      </c>
      <c r="B9" s="13" t="s">
        <v>193</v>
      </c>
      <c r="C9" s="19" t="s">
        <v>79</v>
      </c>
      <c r="D9" s="14">
        <v>19</v>
      </c>
      <c r="E9" s="15">
        <f>급여산출기초1!E10</f>
        <v>3188000</v>
      </c>
      <c r="F9" s="15">
        <f t="shared" si="2"/>
        <v>38256000</v>
      </c>
      <c r="G9" s="15">
        <f>사회보험!G11</f>
        <v>3825600</v>
      </c>
      <c r="H9" s="15">
        <v>1440000</v>
      </c>
      <c r="I9" s="116">
        <f>급여산출기초1!I10</f>
        <v>8236930</v>
      </c>
      <c r="J9" s="85">
        <f t="shared" si="3"/>
        <v>13502530</v>
      </c>
      <c r="K9" s="85">
        <f t="shared" si="4"/>
        <v>51758530</v>
      </c>
      <c r="L9" s="85">
        <f t="shared" si="6"/>
        <v>7246190</v>
      </c>
      <c r="M9" s="85">
        <f t="shared" si="5"/>
        <v>44512340</v>
      </c>
    </row>
    <row r="10" spans="1:13" ht="30" customHeight="1" x14ac:dyDescent="0.3">
      <c r="A10" s="13">
        <v>6</v>
      </c>
      <c r="B10" s="13" t="s">
        <v>193</v>
      </c>
      <c r="C10" s="19" t="s">
        <v>76</v>
      </c>
      <c r="D10" s="14">
        <v>12</v>
      </c>
      <c r="E10" s="15">
        <f>급여산출기초1!E11</f>
        <v>2743000</v>
      </c>
      <c r="F10" s="15">
        <f t="shared" si="2"/>
        <v>32916000</v>
      </c>
      <c r="G10" s="15">
        <f>사회보험!G12</f>
        <v>3291600</v>
      </c>
      <c r="H10" s="15">
        <v>480000</v>
      </c>
      <c r="I10" s="116">
        <f>급여산출기초1!I11</f>
        <v>7087170</v>
      </c>
      <c r="J10" s="85">
        <f t="shared" si="3"/>
        <v>10858770</v>
      </c>
      <c r="K10" s="85">
        <f t="shared" si="4"/>
        <v>43774770</v>
      </c>
      <c r="L10" s="85">
        <f t="shared" si="6"/>
        <v>6128460</v>
      </c>
      <c r="M10" s="85">
        <f t="shared" si="5"/>
        <v>37646310</v>
      </c>
    </row>
    <row r="11" spans="1:13" ht="30" customHeight="1" x14ac:dyDescent="0.3">
      <c r="A11" s="13">
        <v>7</v>
      </c>
      <c r="B11" s="13" t="s">
        <v>193</v>
      </c>
      <c r="C11" s="19" t="s">
        <v>180</v>
      </c>
      <c r="D11" s="14">
        <v>14</v>
      </c>
      <c r="E11" s="15">
        <f>급여산출기초1!E12</f>
        <v>2877000</v>
      </c>
      <c r="F11" s="15">
        <f t="shared" si="2"/>
        <v>34524000</v>
      </c>
      <c r="G11" s="15">
        <f>사회보험!G13</f>
        <v>3452400</v>
      </c>
      <c r="H11" s="15"/>
      <c r="I11" s="116">
        <f>급여산출기초1!I12</f>
        <v>7433390</v>
      </c>
      <c r="J11" s="85">
        <f t="shared" si="3"/>
        <v>10885790</v>
      </c>
      <c r="K11" s="85">
        <f t="shared" si="4"/>
        <v>45409790</v>
      </c>
      <c r="L11" s="85">
        <f t="shared" si="6"/>
        <v>6357370</v>
      </c>
      <c r="M11" s="85">
        <f t="shared" si="5"/>
        <v>39052420</v>
      </c>
    </row>
    <row r="12" spans="1:13" ht="30" customHeight="1" x14ac:dyDescent="0.3">
      <c r="A12" s="13">
        <v>8</v>
      </c>
      <c r="B12" s="13" t="s">
        <v>193</v>
      </c>
      <c r="C12" s="19" t="s">
        <v>182</v>
      </c>
      <c r="D12" s="14">
        <v>11</v>
      </c>
      <c r="E12" s="15">
        <f>급여산출기초1!E13</f>
        <v>2673000</v>
      </c>
      <c r="F12" s="15">
        <f t="shared" si="2"/>
        <v>32076000</v>
      </c>
      <c r="G12" s="15">
        <f>사회보험!G14</f>
        <v>3207600</v>
      </c>
      <c r="H12" s="15">
        <f>40000*12</f>
        <v>480000</v>
      </c>
      <c r="I12" s="116">
        <f>급여산출기초1!I13</f>
        <v>6906310</v>
      </c>
      <c r="J12" s="85">
        <f t="shared" si="3"/>
        <v>10593910</v>
      </c>
      <c r="K12" s="85">
        <f t="shared" si="4"/>
        <v>42669910</v>
      </c>
      <c r="L12" s="85">
        <f t="shared" si="6"/>
        <v>5973780</v>
      </c>
      <c r="M12" s="85">
        <f t="shared" si="5"/>
        <v>36696130</v>
      </c>
    </row>
    <row r="13" spans="1:13" ht="30" customHeight="1" x14ac:dyDescent="0.3">
      <c r="A13" s="13">
        <v>9</v>
      </c>
      <c r="B13" s="13" t="s">
        <v>193</v>
      </c>
      <c r="C13" s="19" t="s">
        <v>194</v>
      </c>
      <c r="D13" s="14">
        <v>9</v>
      </c>
      <c r="E13" s="15">
        <f>급여산출기초1!E14</f>
        <v>2496000</v>
      </c>
      <c r="F13" s="15">
        <f t="shared" si="2"/>
        <v>29952000</v>
      </c>
      <c r="G13" s="15">
        <f>사회보험!G15</f>
        <v>2995200</v>
      </c>
      <c r="H13" s="15">
        <f>100000*12</f>
        <v>1200000</v>
      </c>
      <c r="I13" s="116">
        <f>급여산출기초1!I14</f>
        <v>6448990</v>
      </c>
      <c r="J13" s="85">
        <f t="shared" si="3"/>
        <v>10644190</v>
      </c>
      <c r="K13" s="85">
        <f t="shared" si="4"/>
        <v>40596190</v>
      </c>
      <c r="L13" s="85">
        <f t="shared" si="6"/>
        <v>5683460</v>
      </c>
      <c r="M13" s="85">
        <f t="shared" si="5"/>
        <v>34912730</v>
      </c>
    </row>
    <row r="14" spans="1:13" ht="30" customHeight="1" x14ac:dyDescent="0.3">
      <c r="A14" s="13">
        <v>10</v>
      </c>
      <c r="B14" s="13" t="s">
        <v>193</v>
      </c>
      <c r="C14" s="19" t="s">
        <v>195</v>
      </c>
      <c r="D14" s="14">
        <v>10</v>
      </c>
      <c r="E14" s="15">
        <f>급여산출기초1!E15</f>
        <v>2588000</v>
      </c>
      <c r="F14" s="15">
        <f t="shared" si="2"/>
        <v>31056000</v>
      </c>
      <c r="G14" s="15">
        <f>사회보험!G16</f>
        <v>3105600</v>
      </c>
      <c r="H14" s="15"/>
      <c r="I14" s="116">
        <f>급여산출기초1!I15</f>
        <v>6686690</v>
      </c>
      <c r="J14" s="85">
        <f t="shared" si="3"/>
        <v>9792290</v>
      </c>
      <c r="K14" s="85">
        <f t="shared" si="4"/>
        <v>40848290</v>
      </c>
      <c r="L14" s="85">
        <f t="shared" si="6"/>
        <v>5718760</v>
      </c>
      <c r="M14" s="85">
        <f t="shared" si="5"/>
        <v>35129530</v>
      </c>
    </row>
    <row r="15" spans="1:13" ht="30" customHeight="1" x14ac:dyDescent="0.3">
      <c r="A15" s="13">
        <v>11</v>
      </c>
      <c r="B15" s="13" t="s">
        <v>193</v>
      </c>
      <c r="C15" s="19" t="s">
        <v>211</v>
      </c>
      <c r="D15" s="14">
        <v>5</v>
      </c>
      <c r="E15" s="15">
        <f>급여산출기초1!E16</f>
        <v>2148000</v>
      </c>
      <c r="F15" s="15">
        <f t="shared" si="2"/>
        <v>25776000</v>
      </c>
      <c r="G15" s="15">
        <f>사회보험!G17</f>
        <v>2577600</v>
      </c>
      <c r="H15" s="15">
        <f>급여산출기초1!J16</f>
        <v>480000</v>
      </c>
      <c r="I15" s="116">
        <f>급여산출기초1!I16</f>
        <v>5549850</v>
      </c>
      <c r="J15" s="85">
        <f t="shared" si="3"/>
        <v>8607450</v>
      </c>
      <c r="K15" s="85">
        <f t="shared" si="4"/>
        <v>34383450</v>
      </c>
      <c r="L15" s="85">
        <f t="shared" si="6"/>
        <v>4813680</v>
      </c>
      <c r="M15" s="85">
        <f t="shared" si="5"/>
        <v>29569770</v>
      </c>
    </row>
    <row r="16" spans="1:13" ht="30" customHeight="1" x14ac:dyDescent="0.3">
      <c r="A16" s="13">
        <v>12</v>
      </c>
      <c r="B16" s="13" t="s">
        <v>196</v>
      </c>
      <c r="C16" s="19" t="s">
        <v>197</v>
      </c>
      <c r="D16" s="14">
        <v>7</v>
      </c>
      <c r="E16" s="15">
        <f>급여산출기초1!E17</f>
        <v>2113000</v>
      </c>
      <c r="F16" s="15">
        <f t="shared" si="2"/>
        <v>25356000</v>
      </c>
      <c r="G16" s="15">
        <f>사회보험!G18</f>
        <v>2535600</v>
      </c>
      <c r="H16" s="15">
        <f>40000*12</f>
        <v>480000</v>
      </c>
      <c r="I16" s="116">
        <f>급여산출기초1!I17</f>
        <v>5459420</v>
      </c>
      <c r="J16" s="85">
        <f t="shared" si="3"/>
        <v>8475020</v>
      </c>
      <c r="K16" s="85">
        <f t="shared" si="4"/>
        <v>33831020</v>
      </c>
      <c r="L16" s="85">
        <f t="shared" si="6"/>
        <v>4736340</v>
      </c>
      <c r="M16" s="85">
        <f t="shared" si="5"/>
        <v>29094680</v>
      </c>
    </row>
    <row r="17" spans="1:13" ht="30" customHeight="1" x14ac:dyDescent="0.3">
      <c r="A17" s="13">
        <v>13</v>
      </c>
      <c r="B17" s="13" t="s">
        <v>241</v>
      </c>
      <c r="C17" s="19" t="s">
        <v>242</v>
      </c>
      <c r="D17" s="14">
        <v>10</v>
      </c>
      <c r="E17" s="15">
        <f>급여산출기초1!E18</f>
        <v>2673000</v>
      </c>
      <c r="F17" s="15">
        <f>E17*6</f>
        <v>16038000</v>
      </c>
      <c r="G17" s="15">
        <f>E17*0.6*1</f>
        <v>1603800</v>
      </c>
      <c r="H17" s="15">
        <f>120000*6</f>
        <v>720000</v>
      </c>
      <c r="I17" s="116">
        <f>급여산출기초1!I18</f>
        <v>3453150</v>
      </c>
      <c r="J17" s="85">
        <f t="shared" si="3"/>
        <v>5776950</v>
      </c>
      <c r="K17" s="85">
        <f t="shared" si="4"/>
        <v>21814950</v>
      </c>
      <c r="L17" s="85">
        <f t="shared" ref="L17:L18" si="7">ROUNDDOWN(K17*14%,-1)</f>
        <v>3054090</v>
      </c>
      <c r="M17" s="85">
        <f t="shared" ref="M17:M18" si="8">K17-L17</f>
        <v>18760860</v>
      </c>
    </row>
    <row r="18" spans="1:13" ht="29.25" customHeight="1" x14ac:dyDescent="0.3">
      <c r="A18" s="13">
        <v>14</v>
      </c>
      <c r="B18" s="13" t="s">
        <v>241</v>
      </c>
      <c r="C18" s="19" t="s">
        <v>242</v>
      </c>
      <c r="D18" s="229">
        <v>10</v>
      </c>
      <c r="E18" s="15">
        <f>급여산출기초1!E19</f>
        <v>2673000</v>
      </c>
      <c r="F18" s="15">
        <f t="shared" ref="F18:F20" si="9">E18*6</f>
        <v>16038000</v>
      </c>
      <c r="G18" s="15">
        <f t="shared" ref="G18:G20" si="10">E18*0.6*1</f>
        <v>1603800</v>
      </c>
      <c r="H18" s="15">
        <f t="shared" ref="H18:H20" si="11">120000*6</f>
        <v>720000</v>
      </c>
      <c r="I18" s="116">
        <f>급여산출기초1!I19</f>
        <v>3453150</v>
      </c>
      <c r="J18" s="85">
        <f t="shared" si="3"/>
        <v>5776950</v>
      </c>
      <c r="K18" s="85">
        <f t="shared" si="4"/>
        <v>21814950</v>
      </c>
      <c r="L18" s="85">
        <f t="shared" si="7"/>
        <v>3054090</v>
      </c>
      <c r="M18" s="85">
        <f t="shared" si="8"/>
        <v>18760860</v>
      </c>
    </row>
    <row r="19" spans="1:13" ht="31.5" customHeight="1" x14ac:dyDescent="0.3">
      <c r="A19" s="13">
        <v>15</v>
      </c>
      <c r="B19" s="13" t="s">
        <v>241</v>
      </c>
      <c r="C19" s="19" t="s">
        <v>242</v>
      </c>
      <c r="D19" s="229">
        <v>10</v>
      </c>
      <c r="E19" s="15">
        <f>급여산출기초1!E20</f>
        <v>2673000</v>
      </c>
      <c r="F19" s="15">
        <f t="shared" si="9"/>
        <v>16038000</v>
      </c>
      <c r="G19" s="15">
        <f t="shared" si="10"/>
        <v>1603800</v>
      </c>
      <c r="H19" s="15">
        <f t="shared" si="11"/>
        <v>720000</v>
      </c>
      <c r="I19" s="116">
        <f>급여산출기초1!I20</f>
        <v>3453150</v>
      </c>
      <c r="J19" s="85">
        <f t="shared" ref="J19:J20" si="12">SUM(G19:I19)</f>
        <v>5776950</v>
      </c>
      <c r="K19" s="85">
        <f t="shared" ref="K19:K20" si="13">F19+J19</f>
        <v>21814950</v>
      </c>
      <c r="L19" s="85">
        <f t="shared" ref="L19:L20" si="14">ROUNDDOWN(K19*14%,-1)</f>
        <v>3054090</v>
      </c>
      <c r="M19" s="85">
        <f t="shared" ref="M19:M20" si="15">K19-L19</f>
        <v>18760860</v>
      </c>
    </row>
    <row r="20" spans="1:13" ht="31.5" customHeight="1" x14ac:dyDescent="0.3">
      <c r="A20" s="13">
        <v>16</v>
      </c>
      <c r="B20" s="13" t="s">
        <v>241</v>
      </c>
      <c r="C20" s="19" t="s">
        <v>242</v>
      </c>
      <c r="D20" s="229">
        <v>10</v>
      </c>
      <c r="E20" s="15">
        <f>급여산출기초1!E21</f>
        <v>2673000</v>
      </c>
      <c r="F20" s="15">
        <f t="shared" si="9"/>
        <v>16038000</v>
      </c>
      <c r="G20" s="15">
        <f t="shared" si="10"/>
        <v>1603800</v>
      </c>
      <c r="H20" s="15">
        <f t="shared" si="11"/>
        <v>720000</v>
      </c>
      <c r="I20" s="116">
        <f>급여산출기초1!I21</f>
        <v>3453150</v>
      </c>
      <c r="J20" s="85">
        <f t="shared" si="12"/>
        <v>5776950</v>
      </c>
      <c r="K20" s="85">
        <f t="shared" si="13"/>
        <v>21814950</v>
      </c>
      <c r="L20" s="85">
        <f t="shared" si="14"/>
        <v>3054090</v>
      </c>
      <c r="M20" s="85">
        <f t="shared" si="15"/>
        <v>18760860</v>
      </c>
    </row>
    <row r="21" spans="1:13" ht="19.5" customHeight="1" x14ac:dyDescent="0.3">
      <c r="H21" s="118"/>
      <c r="I21" s="118"/>
      <c r="J21" s="118"/>
      <c r="K21" s="118"/>
      <c r="L21" s="118"/>
      <c r="M21" s="118"/>
    </row>
    <row r="22" spans="1:13" ht="19.5" customHeight="1" x14ac:dyDescent="0.3">
      <c r="G22" s="118"/>
      <c r="H22" s="118"/>
      <c r="I22" s="118"/>
      <c r="J22" s="118"/>
      <c r="K22" s="118"/>
      <c r="L22" s="118"/>
      <c r="M22" s="118"/>
    </row>
    <row r="23" spans="1:13" ht="19.5" customHeight="1" x14ac:dyDescent="0.3">
      <c r="G23" s="118">
        <v>11376000</v>
      </c>
      <c r="H23" s="118"/>
      <c r="I23" s="118"/>
      <c r="J23" s="118"/>
      <c r="K23" s="118"/>
      <c r="L23" s="118"/>
      <c r="M23" s="118"/>
    </row>
    <row r="24" spans="1:13" x14ac:dyDescent="0.3">
      <c r="G24" s="118">
        <v>720000</v>
      </c>
      <c r="H24" s="118"/>
      <c r="I24" s="118"/>
      <c r="J24" s="118"/>
      <c r="K24" s="118"/>
      <c r="L24" s="118"/>
      <c r="M24" s="118"/>
    </row>
    <row r="25" spans="1:13" x14ac:dyDescent="0.3">
      <c r="G25" s="118">
        <v>11520000</v>
      </c>
      <c r="H25" s="118"/>
      <c r="I25" s="118"/>
      <c r="J25" s="118"/>
      <c r="K25" s="118"/>
      <c r="L25" s="118"/>
      <c r="M25" s="118"/>
    </row>
    <row r="26" spans="1:13" x14ac:dyDescent="0.3">
      <c r="G26" s="118">
        <v>3260000</v>
      </c>
      <c r="H26" s="118"/>
      <c r="I26" s="118"/>
      <c r="J26" s="118"/>
      <c r="K26" s="118"/>
      <c r="L26" s="118"/>
      <c r="M26" s="118"/>
    </row>
    <row r="27" spans="1:13" x14ac:dyDescent="0.3">
      <c r="G27" s="118">
        <v>2000000</v>
      </c>
      <c r="H27" s="118"/>
      <c r="I27" s="118"/>
      <c r="J27" s="118"/>
      <c r="K27" s="118"/>
      <c r="L27" s="118"/>
      <c r="M27" s="118"/>
    </row>
    <row r="28" spans="1:13" x14ac:dyDescent="0.3">
      <c r="G28" s="118">
        <v>1600000</v>
      </c>
      <c r="H28" s="118"/>
      <c r="I28" s="118"/>
      <c r="J28" s="118"/>
      <c r="K28" s="118"/>
      <c r="L28" s="118"/>
      <c r="M28" s="118"/>
    </row>
    <row r="29" spans="1:13" x14ac:dyDescent="0.3">
      <c r="G29" s="118">
        <v>1200000</v>
      </c>
      <c r="H29" s="118"/>
      <c r="I29" s="118"/>
      <c r="J29" s="118"/>
      <c r="K29" s="118"/>
      <c r="L29" s="118"/>
      <c r="M29" s="118"/>
    </row>
    <row r="30" spans="1:13" x14ac:dyDescent="0.3">
      <c r="G30" s="118">
        <v>518000</v>
      </c>
      <c r="H30" s="118"/>
      <c r="I30" s="118"/>
      <c r="J30" s="118"/>
      <c r="K30" s="118"/>
      <c r="L30" s="118"/>
      <c r="M30" s="118"/>
    </row>
    <row r="31" spans="1:13" x14ac:dyDescent="0.3">
      <c r="G31" s="118">
        <f>SUM(G23:G30)</f>
        <v>32194000</v>
      </c>
      <c r="H31" s="118"/>
      <c r="I31" s="118"/>
      <c r="J31" s="118"/>
      <c r="K31" s="118"/>
      <c r="L31" s="118"/>
      <c r="M31" s="118"/>
    </row>
    <row r="32" spans="1:13" x14ac:dyDescent="0.3">
      <c r="G32" s="118"/>
      <c r="H32" s="118"/>
      <c r="I32" s="118"/>
      <c r="J32" s="118"/>
      <c r="K32" s="118"/>
      <c r="L32" s="118"/>
      <c r="M32" s="118"/>
    </row>
    <row r="33" spans="7:13" x14ac:dyDescent="0.3">
      <c r="G33" s="118"/>
      <c r="H33" s="118"/>
      <c r="I33" s="118"/>
      <c r="J33" s="118"/>
      <c r="K33" s="118"/>
      <c r="L33" s="118"/>
      <c r="M33" s="118"/>
    </row>
    <row r="34" spans="7:13" x14ac:dyDescent="0.3">
      <c r="G34" s="118"/>
      <c r="H34" s="118"/>
      <c r="I34" s="118"/>
      <c r="J34" s="118"/>
      <c r="K34" s="118"/>
      <c r="L34" s="118"/>
      <c r="M34" s="118"/>
    </row>
    <row r="35" spans="7:13" x14ac:dyDescent="0.3">
      <c r="G35" s="118"/>
      <c r="H35" s="118"/>
      <c r="I35" s="118"/>
      <c r="J35" s="118"/>
      <c r="K35" s="118"/>
      <c r="L35" s="118"/>
      <c r="M35" s="118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G7" sqref="G7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3.62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297" t="s">
        <v>238</v>
      </c>
      <c r="C1" s="297"/>
      <c r="D1" s="297"/>
      <c r="E1" s="297"/>
      <c r="F1" s="297"/>
      <c r="G1" s="297"/>
      <c r="H1" s="297"/>
      <c r="I1" s="297"/>
    </row>
    <row r="2" spans="2:9" ht="27.75" customHeight="1" x14ac:dyDescent="0.3">
      <c r="B2" s="55" t="s">
        <v>150</v>
      </c>
      <c r="C2" s="22"/>
      <c r="D2" s="52"/>
      <c r="E2" s="54"/>
      <c r="F2" s="53"/>
      <c r="G2" s="52"/>
      <c r="H2" s="51"/>
      <c r="I2" s="50" t="s">
        <v>117</v>
      </c>
    </row>
    <row r="3" spans="2:9" ht="27" customHeight="1" x14ac:dyDescent="0.3">
      <c r="B3" s="304" t="s">
        <v>62</v>
      </c>
      <c r="C3" s="304"/>
      <c r="D3" s="47" t="s">
        <v>51</v>
      </c>
      <c r="E3" s="49" t="s">
        <v>144</v>
      </c>
      <c r="F3" s="48" t="s">
        <v>155</v>
      </c>
      <c r="G3" s="47" t="s">
        <v>70</v>
      </c>
      <c r="H3" s="46" t="s">
        <v>160</v>
      </c>
      <c r="I3" s="46" t="s">
        <v>77</v>
      </c>
    </row>
    <row r="4" spans="2:9" ht="27" customHeight="1" x14ac:dyDescent="0.3">
      <c r="B4" s="305" t="s">
        <v>3</v>
      </c>
      <c r="C4" s="44" t="s">
        <v>163</v>
      </c>
      <c r="D4" s="107">
        <v>254820</v>
      </c>
      <c r="E4" s="43" t="s">
        <v>69</v>
      </c>
      <c r="F4" s="42">
        <v>30</v>
      </c>
      <c r="G4" s="104">
        <f>254450*30*12</f>
        <v>91602000</v>
      </c>
      <c r="H4" s="45" t="s">
        <v>267</v>
      </c>
      <c r="I4" s="302" t="s">
        <v>270</v>
      </c>
    </row>
    <row r="5" spans="2:9" ht="27" customHeight="1" x14ac:dyDescent="0.3">
      <c r="B5" s="306"/>
      <c r="C5" s="44" t="s">
        <v>42</v>
      </c>
      <c r="D5" s="107">
        <v>11185</v>
      </c>
      <c r="E5" s="43" t="s">
        <v>69</v>
      </c>
      <c r="F5" s="42">
        <v>30</v>
      </c>
      <c r="G5" s="104">
        <f>D5*F5*12</f>
        <v>4026600</v>
      </c>
      <c r="H5" s="45" t="s">
        <v>268</v>
      </c>
      <c r="I5" s="303"/>
    </row>
    <row r="6" spans="2:9" ht="27" customHeight="1" x14ac:dyDescent="0.3">
      <c r="B6" s="306"/>
      <c r="C6" s="44" t="s">
        <v>151</v>
      </c>
      <c r="D6" s="107">
        <v>2240</v>
      </c>
      <c r="E6" s="43" t="s">
        <v>69</v>
      </c>
      <c r="F6" s="42">
        <v>30</v>
      </c>
      <c r="G6" s="104">
        <f>D6*F6*12</f>
        <v>806400</v>
      </c>
      <c r="H6" s="45" t="s">
        <v>269</v>
      </c>
      <c r="I6" s="303"/>
    </row>
    <row r="7" spans="2:9" ht="27" customHeight="1" x14ac:dyDescent="0.3">
      <c r="B7" s="300" t="s">
        <v>47</v>
      </c>
      <c r="C7" s="300"/>
      <c r="D7" s="108">
        <f>SUM(D4:D6)</f>
        <v>268245</v>
      </c>
      <c r="E7" s="37" t="s">
        <v>69</v>
      </c>
      <c r="F7" s="36"/>
      <c r="G7" s="105">
        <f>SUM(G4:G6)</f>
        <v>96435000</v>
      </c>
      <c r="H7" s="75" t="s">
        <v>189</v>
      </c>
      <c r="I7" s="303"/>
    </row>
    <row r="8" spans="2:9" ht="25.5" customHeight="1" x14ac:dyDescent="0.3">
      <c r="B8" s="298" t="s">
        <v>159</v>
      </c>
      <c r="C8" s="298"/>
      <c r="D8" s="109">
        <v>38000</v>
      </c>
      <c r="E8" s="40" t="s">
        <v>74</v>
      </c>
      <c r="F8" s="39">
        <v>30</v>
      </c>
      <c r="G8" s="104">
        <f>D8*30</f>
        <v>1140000</v>
      </c>
      <c r="H8" s="99" t="s">
        <v>271</v>
      </c>
      <c r="I8" s="41"/>
    </row>
    <row r="9" spans="2:9" ht="25.5" customHeight="1" x14ac:dyDescent="0.3">
      <c r="B9" s="299" t="s">
        <v>31</v>
      </c>
      <c r="C9" s="299"/>
      <c r="D9" s="109">
        <v>38500</v>
      </c>
      <c r="E9" s="40" t="s">
        <v>54</v>
      </c>
      <c r="F9" s="39">
        <v>30</v>
      </c>
      <c r="G9" s="104">
        <f>D9*F9*2</f>
        <v>2310000</v>
      </c>
      <c r="H9" s="99" t="s">
        <v>272</v>
      </c>
      <c r="I9" s="34"/>
    </row>
    <row r="10" spans="2:9" ht="26.25" customHeight="1" x14ac:dyDescent="0.3">
      <c r="B10" s="300" t="s">
        <v>47</v>
      </c>
      <c r="C10" s="300"/>
      <c r="D10" s="38"/>
      <c r="E10" s="37"/>
      <c r="F10" s="36"/>
      <c r="G10" s="105">
        <f>SUM(G8:G9)</f>
        <v>3450000</v>
      </c>
      <c r="H10" s="35"/>
      <c r="I10" s="34"/>
    </row>
    <row r="11" spans="2:9" ht="26.25" customHeight="1" x14ac:dyDescent="0.15">
      <c r="B11" s="301" t="s">
        <v>146</v>
      </c>
      <c r="C11" s="301"/>
      <c r="D11" s="301"/>
      <c r="E11" s="301"/>
      <c r="F11" s="301"/>
      <c r="G11" s="106">
        <f>G7+G10</f>
        <v>99885000</v>
      </c>
      <c r="H11" s="33"/>
      <c r="I11" s="32"/>
    </row>
    <row r="12" spans="2:9" ht="30" customHeight="1" x14ac:dyDescent="0.3">
      <c r="B12" s="296" t="s">
        <v>221</v>
      </c>
      <c r="C12" s="296"/>
      <c r="D12" s="296"/>
      <c r="E12" s="296"/>
      <c r="F12" s="296"/>
      <c r="G12" s="296"/>
      <c r="H12" s="296"/>
      <c r="I12" s="296"/>
    </row>
    <row r="15" spans="2:9" x14ac:dyDescent="0.3">
      <c r="G15" s="31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5" zoomScaleNormal="100" workbookViewId="0">
      <selection activeCell="D32" sqref="D32"/>
    </sheetView>
  </sheetViews>
  <sheetFormatPr defaultColWidth="8.875" defaultRowHeight="16.5" x14ac:dyDescent="0.3"/>
  <cols>
    <col min="1" max="1" width="19.75" style="29" bestFit="1" customWidth="1"/>
    <col min="2" max="2" width="17.625" style="56" customWidth="1"/>
    <col min="3" max="3" width="19.625" style="29" customWidth="1"/>
    <col min="4" max="4" width="37.5" style="29" bestFit="1" customWidth="1"/>
    <col min="5" max="5" width="10" style="29" customWidth="1"/>
    <col min="6" max="16132" width="9" style="22"/>
  </cols>
  <sheetData>
    <row r="1" spans="1:5 16133:16141" ht="22.5" customHeight="1" x14ac:dyDescent="0.3">
      <c r="A1" s="290" t="s">
        <v>236</v>
      </c>
      <c r="B1" s="290"/>
      <c r="C1" s="290"/>
      <c r="D1" s="290"/>
      <c r="E1" s="290"/>
    </row>
    <row r="2" spans="1:5 16133:16141" ht="17.25" customHeight="1" x14ac:dyDescent="0.25">
      <c r="A2" s="25" t="s">
        <v>150</v>
      </c>
      <c r="B2" s="24"/>
      <c r="C2" s="23"/>
      <c r="D2" s="23"/>
      <c r="E2" s="69" t="s">
        <v>117</v>
      </c>
    </row>
    <row r="3" spans="1:5 16133:16141" ht="21.95" customHeight="1" x14ac:dyDescent="0.3">
      <c r="A3" s="66" t="s">
        <v>62</v>
      </c>
      <c r="B3" s="68" t="s">
        <v>158</v>
      </c>
      <c r="C3" s="66" t="s">
        <v>70</v>
      </c>
      <c r="D3" s="67" t="s">
        <v>160</v>
      </c>
      <c r="E3" s="66" t="s">
        <v>77</v>
      </c>
    </row>
    <row r="4" spans="1:5 16133:16141" ht="21.95" hidden="1" customHeight="1" x14ac:dyDescent="0.3">
      <c r="A4" s="59" t="s">
        <v>162</v>
      </c>
      <c r="B4" s="63" t="s">
        <v>23</v>
      </c>
      <c r="C4" s="62"/>
      <c r="D4" s="64" t="s">
        <v>168</v>
      </c>
      <c r="E4" s="291" t="s">
        <v>252</v>
      </c>
    </row>
    <row r="5" spans="1:5 16133:16141" ht="21.95" customHeight="1" x14ac:dyDescent="0.3">
      <c r="A5" s="59" t="s">
        <v>141</v>
      </c>
      <c r="B5" s="63" t="s">
        <v>250</v>
      </c>
      <c r="C5" s="62">
        <f>135000*30*12</f>
        <v>48600000</v>
      </c>
      <c r="D5" s="64" t="s">
        <v>251</v>
      </c>
      <c r="E5" s="292"/>
    </row>
    <row r="6" spans="1:5 16133:16141" ht="21.95" customHeight="1" x14ac:dyDescent="0.3">
      <c r="A6" s="59" t="s">
        <v>27</v>
      </c>
      <c r="B6" s="63" t="s">
        <v>30</v>
      </c>
      <c r="C6" s="62">
        <f>14270*30</f>
        <v>428100</v>
      </c>
      <c r="D6" s="60" t="s">
        <v>253</v>
      </c>
      <c r="E6" s="61"/>
    </row>
    <row r="7" spans="1:5 16133:16141" ht="56.25" customHeight="1" x14ac:dyDescent="0.3">
      <c r="A7" s="59" t="s">
        <v>124</v>
      </c>
      <c r="B7" s="63" t="s">
        <v>74</v>
      </c>
      <c r="C7" s="100">
        <f>413790+116210+3100000</f>
        <v>3630000</v>
      </c>
      <c r="D7" s="101" t="s">
        <v>289</v>
      </c>
      <c r="E7" s="61" t="s">
        <v>174</v>
      </c>
    </row>
    <row r="8" spans="1:5 16133:16141" ht="28.5" customHeight="1" x14ac:dyDescent="0.3">
      <c r="A8" s="59" t="s">
        <v>306</v>
      </c>
      <c r="B8" s="63" t="s">
        <v>307</v>
      </c>
      <c r="C8" s="100">
        <v>1600000</v>
      </c>
      <c r="D8" s="60" t="s">
        <v>308</v>
      </c>
      <c r="E8" s="59" t="s">
        <v>309</v>
      </c>
    </row>
    <row r="9" spans="1:5 16133:16141" ht="21.95" customHeight="1" x14ac:dyDescent="0.3">
      <c r="A9" s="295" t="s">
        <v>73</v>
      </c>
      <c r="B9" s="295"/>
      <c r="C9" s="102">
        <f>SUM(C4:C7)</f>
        <v>52658100</v>
      </c>
      <c r="D9" s="71"/>
      <c r="E9" s="70"/>
    </row>
    <row r="10" spans="1:5 16133:16141" ht="9" customHeight="1" x14ac:dyDescent="0.3">
      <c r="A10" s="93"/>
      <c r="B10" s="93"/>
      <c r="C10" s="95"/>
      <c r="D10" s="94"/>
      <c r="E10" s="94"/>
    </row>
    <row r="11" spans="1:5 16133:16141" ht="19.5" customHeight="1" x14ac:dyDescent="0.3">
      <c r="A11" s="290" t="s">
        <v>237</v>
      </c>
      <c r="B11" s="290"/>
      <c r="C11" s="290"/>
      <c r="D11" s="290"/>
      <c r="E11" s="290"/>
    </row>
    <row r="12" spans="1:5 16133:16141" ht="21.95" customHeight="1" x14ac:dyDescent="0.25">
      <c r="A12" s="25" t="s">
        <v>150</v>
      </c>
      <c r="B12" s="24"/>
      <c r="C12" s="23"/>
      <c r="D12" s="23"/>
      <c r="E12" s="69" t="s">
        <v>117</v>
      </c>
    </row>
    <row r="13" spans="1:5 16133:16141" ht="21.95" customHeight="1" x14ac:dyDescent="0.3">
      <c r="A13" s="66" t="s">
        <v>62</v>
      </c>
      <c r="B13" s="68" t="s">
        <v>158</v>
      </c>
      <c r="C13" s="66" t="s">
        <v>70</v>
      </c>
      <c r="D13" s="67" t="s">
        <v>160</v>
      </c>
      <c r="E13" s="66" t="s">
        <v>77</v>
      </c>
    </row>
    <row r="14" spans="1:5 16133:16141" ht="21.95" hidden="1" customHeight="1" x14ac:dyDescent="0.3">
      <c r="A14" s="59" t="s">
        <v>135</v>
      </c>
      <c r="B14" s="63" t="s">
        <v>24</v>
      </c>
      <c r="C14" s="62"/>
      <c r="D14" s="64" t="s">
        <v>80</v>
      </c>
      <c r="E14" s="61"/>
    </row>
    <row r="15" spans="1:5 16133:16141" ht="21.95" customHeight="1" x14ac:dyDescent="0.3">
      <c r="A15" s="59" t="s">
        <v>186</v>
      </c>
      <c r="B15" s="63" t="s">
        <v>217</v>
      </c>
      <c r="C15" s="62">
        <f>38000*15*12</f>
        <v>6840000</v>
      </c>
      <c r="D15" s="64" t="s">
        <v>254</v>
      </c>
      <c r="E15" s="59" t="s">
        <v>255</v>
      </c>
    </row>
    <row r="16" spans="1:5 16133:16141" s="22" customFormat="1" ht="30.75" customHeight="1" x14ac:dyDescent="0.3">
      <c r="A16" s="59" t="s">
        <v>133</v>
      </c>
      <c r="B16" s="63" t="s">
        <v>218</v>
      </c>
      <c r="C16" s="62">
        <f>26000*13*12</f>
        <v>4056000</v>
      </c>
      <c r="D16" s="65" t="s">
        <v>258</v>
      </c>
      <c r="E16" s="59" t="s">
        <v>256</v>
      </c>
      <c r="WVM16"/>
      <c r="WVN16"/>
      <c r="WVO16"/>
      <c r="WVP16"/>
      <c r="WVQ16"/>
      <c r="WVR16"/>
      <c r="WVS16"/>
      <c r="WVT16"/>
      <c r="WVU16"/>
    </row>
    <row r="17" spans="1:5 16133:16141" ht="21.75" customHeight="1" x14ac:dyDescent="0.3">
      <c r="A17" s="59" t="s">
        <v>22</v>
      </c>
      <c r="B17" s="63" t="s">
        <v>219</v>
      </c>
      <c r="C17" s="62">
        <f>20000*2*12</f>
        <v>480000</v>
      </c>
      <c r="D17" s="65" t="s">
        <v>257</v>
      </c>
      <c r="E17" s="59" t="s">
        <v>259</v>
      </c>
    </row>
    <row r="18" spans="1:5 16133:16141" s="22" customFormat="1" ht="21.95" customHeight="1" x14ac:dyDescent="0.3">
      <c r="A18" s="59" t="s">
        <v>134</v>
      </c>
      <c r="B18" s="63" t="s">
        <v>29</v>
      </c>
      <c r="C18" s="62">
        <f>24000*30</f>
        <v>720000</v>
      </c>
      <c r="D18" s="64" t="s">
        <v>260</v>
      </c>
      <c r="E18" s="59" t="s">
        <v>261</v>
      </c>
      <c r="WVM18"/>
      <c r="WVN18"/>
      <c r="WVO18"/>
      <c r="WVP18"/>
      <c r="WVQ18"/>
      <c r="WVR18"/>
      <c r="WVS18"/>
      <c r="WVT18"/>
      <c r="WVU18"/>
    </row>
    <row r="19" spans="1:5 16133:16141" s="22" customFormat="1" ht="28.5" customHeight="1" x14ac:dyDescent="0.3">
      <c r="A19" s="59" t="s">
        <v>33</v>
      </c>
      <c r="B19" s="63" t="s">
        <v>172</v>
      </c>
      <c r="C19" s="117">
        <f>1600*240*30</f>
        <v>11520000</v>
      </c>
      <c r="D19" s="65" t="s">
        <v>210</v>
      </c>
      <c r="E19" s="59" t="s">
        <v>220</v>
      </c>
      <c r="WVM19"/>
      <c r="WVN19"/>
      <c r="WVO19"/>
      <c r="WVP19"/>
      <c r="WVQ19"/>
      <c r="WVR19"/>
      <c r="WVS19"/>
      <c r="WVT19"/>
      <c r="WVU19"/>
    </row>
    <row r="20" spans="1:5 16133:16141" ht="24" x14ac:dyDescent="0.3">
      <c r="A20" s="59" t="s">
        <v>94</v>
      </c>
      <c r="B20" s="63" t="s">
        <v>28</v>
      </c>
      <c r="C20" s="62">
        <f>10*120000</f>
        <v>1200000</v>
      </c>
      <c r="D20" s="65" t="s">
        <v>262</v>
      </c>
      <c r="E20" s="59" t="s">
        <v>263</v>
      </c>
    </row>
    <row r="21" spans="1:5 16133:16141" ht="27" customHeight="1" x14ac:dyDescent="0.3">
      <c r="A21" s="59" t="s">
        <v>187</v>
      </c>
      <c r="B21" s="63" t="s">
        <v>188</v>
      </c>
      <c r="C21" s="62">
        <f>120000*15</f>
        <v>1800000</v>
      </c>
      <c r="D21" s="101" t="s">
        <v>265</v>
      </c>
      <c r="E21" s="59" t="s">
        <v>255</v>
      </c>
    </row>
    <row r="22" spans="1:5 16133:16141" ht="21.95" customHeight="1" x14ac:dyDescent="0.3">
      <c r="A22" s="59" t="s">
        <v>20</v>
      </c>
      <c r="B22" s="63" t="s">
        <v>171</v>
      </c>
      <c r="C22" s="62">
        <f>13*100000</f>
        <v>1300000</v>
      </c>
      <c r="D22" s="60" t="s">
        <v>264</v>
      </c>
      <c r="E22" s="59" t="s">
        <v>256</v>
      </c>
    </row>
    <row r="23" spans="1:5 16133:16141" s="22" customFormat="1" ht="21.95" customHeight="1" x14ac:dyDescent="0.3">
      <c r="A23" s="59" t="s">
        <v>26</v>
      </c>
      <c r="B23" s="63" t="s">
        <v>21</v>
      </c>
      <c r="C23" s="62">
        <f>80000*2</f>
        <v>160000</v>
      </c>
      <c r="D23" s="60" t="s">
        <v>266</v>
      </c>
      <c r="E23" s="59" t="s">
        <v>259</v>
      </c>
      <c r="WVM23"/>
      <c r="WVN23"/>
      <c r="WVO23"/>
      <c r="WVP23"/>
      <c r="WVQ23"/>
      <c r="WVR23"/>
      <c r="WVS23"/>
      <c r="WVT23"/>
      <c r="WVU23"/>
    </row>
    <row r="24" spans="1:5 16133:16141" s="22" customFormat="1" ht="21.95" hidden="1" customHeight="1" x14ac:dyDescent="0.3">
      <c r="A24" s="59" t="s">
        <v>137</v>
      </c>
      <c r="B24" s="63" t="s">
        <v>167</v>
      </c>
      <c r="C24" s="62"/>
      <c r="D24" s="60"/>
      <c r="E24" s="61"/>
      <c r="WVM24"/>
      <c r="WVN24"/>
      <c r="WVO24"/>
      <c r="WVP24"/>
      <c r="WVQ24"/>
      <c r="WVR24"/>
      <c r="WVS24"/>
      <c r="WVT24"/>
      <c r="WVU24"/>
    </row>
    <row r="25" spans="1:5 16133:16141" s="22" customFormat="1" ht="21.95" customHeight="1" x14ac:dyDescent="0.3">
      <c r="A25" s="59" t="s">
        <v>293</v>
      </c>
      <c r="B25" s="63" t="s">
        <v>294</v>
      </c>
      <c r="C25" s="62">
        <v>518000</v>
      </c>
      <c r="D25" s="60" t="s">
        <v>295</v>
      </c>
      <c r="E25" s="61"/>
      <c r="WVM25"/>
      <c r="WVN25"/>
      <c r="WVO25"/>
      <c r="WVP25"/>
      <c r="WVQ25"/>
      <c r="WVR25"/>
      <c r="WVS25"/>
      <c r="WVT25"/>
      <c r="WVU25"/>
    </row>
    <row r="26" spans="1:5 16133:16141" ht="21.95" customHeight="1" x14ac:dyDescent="0.3">
      <c r="A26" s="59" t="s">
        <v>149</v>
      </c>
      <c r="B26" s="63" t="s">
        <v>169</v>
      </c>
      <c r="C26" s="62">
        <v>2000000</v>
      </c>
      <c r="D26" s="60"/>
      <c r="E26" s="61"/>
    </row>
    <row r="27" spans="1:5 16133:16141" ht="21.95" customHeight="1" x14ac:dyDescent="0.3">
      <c r="A27" s="294" t="s">
        <v>73</v>
      </c>
      <c r="B27" s="294"/>
      <c r="C27" s="102">
        <f>SUM(C14:C26)</f>
        <v>30594000</v>
      </c>
      <c r="D27" s="60"/>
      <c r="E27" s="59"/>
    </row>
    <row r="28" spans="1:5 16133:16141" s="27" customFormat="1" ht="21.95" customHeight="1" x14ac:dyDescent="0.3">
      <c r="A28" s="293" t="s">
        <v>71</v>
      </c>
      <c r="B28" s="293"/>
      <c r="C28" s="103">
        <f>C9+C27</f>
        <v>83252100</v>
      </c>
      <c r="D28" s="58"/>
      <c r="E28" s="57"/>
    </row>
  </sheetData>
  <mergeCells count="6">
    <mergeCell ref="A1:E1"/>
    <mergeCell ref="E4:E5"/>
    <mergeCell ref="A11:E11"/>
    <mergeCell ref="A28:B28"/>
    <mergeCell ref="A27:B27"/>
    <mergeCell ref="A9:B9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2020-12-10T12:34:52Z</cp:lastPrinted>
  <dcterms:created xsi:type="dcterms:W3CDTF">2013-12-12T01:03:00Z</dcterms:created>
  <dcterms:modified xsi:type="dcterms:W3CDTF">2020-12-10T12:36:17Z</dcterms:modified>
</cp:coreProperties>
</file>