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2210" activeTab="6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7" r:id="rId6"/>
    <sheet name="운영비" sheetId="6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4525"/>
</workbook>
</file>

<file path=xl/calcChain.xml><?xml version="1.0" encoding="utf-8"?>
<calcChain xmlns="http://schemas.openxmlformats.org/spreadsheetml/2006/main">
  <c r="E61" i="2" l="1"/>
  <c r="E60" i="2"/>
  <c r="E58" i="2"/>
  <c r="E57" i="2" s="1"/>
  <c r="E47" i="2"/>
  <c r="E38" i="2"/>
  <c r="E31" i="2"/>
  <c r="E30" i="2" s="1"/>
  <c r="E26" i="2"/>
  <c r="E25" i="2"/>
  <c r="E17" i="2"/>
  <c r="E7" i="2" s="1"/>
  <c r="E14" i="2"/>
  <c r="E8" i="2"/>
  <c r="E25" i="1"/>
  <c r="E24" i="1"/>
  <c r="E22" i="1"/>
  <c r="E21" i="1" s="1"/>
  <c r="E18" i="1"/>
  <c r="E17" i="1"/>
  <c r="E13" i="1"/>
  <c r="E12" i="1" s="1"/>
  <c r="E8" i="1"/>
  <c r="E7" i="1"/>
  <c r="E6" i="2" l="1"/>
  <c r="E6" i="1"/>
  <c r="G27" i="2"/>
  <c r="F28" i="2"/>
  <c r="G42" i="2"/>
  <c r="F54" i="2"/>
  <c r="F20" i="5" l="1"/>
  <c r="F22" i="4"/>
  <c r="G9" i="7"/>
  <c r="C17" i="6" l="1"/>
  <c r="F21" i="3"/>
  <c r="F24" i="2" l="1"/>
  <c r="F19" i="2"/>
  <c r="G40" i="2" l="1"/>
  <c r="H6" i="4" l="1"/>
  <c r="P6" i="4"/>
  <c r="Q6" i="4"/>
  <c r="H5" i="3"/>
  <c r="E5" i="3"/>
  <c r="G4" i="7"/>
  <c r="C22" i="6" l="1"/>
  <c r="C21" i="6"/>
  <c r="C20" i="6"/>
  <c r="C16" i="6"/>
  <c r="C15" i="6"/>
  <c r="C14" i="6"/>
  <c r="J14" i="3" l="1"/>
  <c r="C5" i="6" l="1"/>
  <c r="F23" i="2" l="1"/>
  <c r="F32" i="2"/>
  <c r="F33" i="2"/>
  <c r="F34" i="2"/>
  <c r="F35" i="2"/>
  <c r="F36" i="2"/>
  <c r="F45" i="2"/>
  <c r="G8" i="7" l="1"/>
  <c r="G6" i="7"/>
  <c r="G5" i="7"/>
  <c r="C19" i="6" l="1"/>
  <c r="C18" i="6"/>
  <c r="C6" i="6"/>
  <c r="C8" i="6" s="1"/>
  <c r="H18" i="5"/>
  <c r="H19" i="5"/>
  <c r="H20" i="5"/>
  <c r="H17" i="5"/>
  <c r="E19" i="5"/>
  <c r="F19" i="5" s="1"/>
  <c r="E20" i="5"/>
  <c r="J20" i="4"/>
  <c r="J21" i="4"/>
  <c r="J22" i="4"/>
  <c r="J19" i="4"/>
  <c r="E21" i="4"/>
  <c r="F21" i="4" s="1"/>
  <c r="E22" i="4"/>
  <c r="J19" i="3"/>
  <c r="J20" i="3"/>
  <c r="J21" i="3"/>
  <c r="J18" i="3"/>
  <c r="G19" i="3"/>
  <c r="G20" i="3"/>
  <c r="G21" i="4" s="1"/>
  <c r="G21" i="3"/>
  <c r="G22" i="4" s="1"/>
  <c r="G18" i="3"/>
  <c r="F19" i="3"/>
  <c r="F20" i="3"/>
  <c r="I20" i="3" s="1"/>
  <c r="K20" i="3" s="1"/>
  <c r="I21" i="3"/>
  <c r="I20" i="5" s="1"/>
  <c r="F18" i="3"/>
  <c r="I22" i="4" l="1"/>
  <c r="K22" i="4" s="1"/>
  <c r="L22" i="4" s="1"/>
  <c r="G20" i="5"/>
  <c r="J20" i="5" s="1"/>
  <c r="K20" i="5" s="1"/>
  <c r="L20" i="5" s="1"/>
  <c r="M20" i="5" s="1"/>
  <c r="K21" i="3"/>
  <c r="G19" i="5"/>
  <c r="I21" i="4"/>
  <c r="K21" i="4" s="1"/>
  <c r="L21" i="4" s="1"/>
  <c r="I19" i="5"/>
  <c r="I18" i="3"/>
  <c r="K18" i="3" s="1"/>
  <c r="I19" i="3"/>
  <c r="K19" i="3" s="1"/>
  <c r="E19" i="4"/>
  <c r="F19" i="4" s="1"/>
  <c r="G19" i="4"/>
  <c r="E20" i="4"/>
  <c r="F20" i="4" s="1"/>
  <c r="E17" i="5"/>
  <c r="E18" i="5"/>
  <c r="G7" i="3"/>
  <c r="G8" i="3"/>
  <c r="G9" i="3"/>
  <c r="G10" i="3"/>
  <c r="G11" i="3"/>
  <c r="G12" i="3"/>
  <c r="G13" i="3"/>
  <c r="G14" i="3"/>
  <c r="G15" i="3"/>
  <c r="G16" i="3"/>
  <c r="G17" i="3"/>
  <c r="G20" i="4"/>
  <c r="G6" i="3"/>
  <c r="G5" i="3" l="1"/>
  <c r="M22" i="4"/>
  <c r="N22" i="4" s="1"/>
  <c r="R22" i="4"/>
  <c r="O22" i="4"/>
  <c r="O21" i="4"/>
  <c r="M21" i="4"/>
  <c r="N21" i="4" s="1"/>
  <c r="R21" i="4"/>
  <c r="J19" i="5"/>
  <c r="K19" i="5" s="1"/>
  <c r="L19" i="5" s="1"/>
  <c r="M19" i="5" s="1"/>
  <c r="G18" i="5"/>
  <c r="F18" i="5"/>
  <c r="G17" i="5"/>
  <c r="F17" i="5"/>
  <c r="I18" i="5"/>
  <c r="I20" i="4"/>
  <c r="K20" i="4" s="1"/>
  <c r="L20" i="4" s="1"/>
  <c r="I17" i="5"/>
  <c r="I19" i="4"/>
  <c r="R20" i="4" l="1"/>
  <c r="O20" i="4"/>
  <c r="M20" i="4"/>
  <c r="N20" i="4" s="1"/>
  <c r="J18" i="5"/>
  <c r="K18" i="5" s="1"/>
  <c r="L18" i="5" s="1"/>
  <c r="M18" i="5" s="1"/>
  <c r="J17" i="5"/>
  <c r="K17" i="5" s="1"/>
  <c r="L17" i="5" s="1"/>
  <c r="M17" i="5" s="1"/>
  <c r="S21" i="4"/>
  <c r="S22" i="4"/>
  <c r="K19" i="4"/>
  <c r="S20" i="4" l="1"/>
  <c r="L19" i="4"/>
  <c r="M19" i="4" l="1"/>
  <c r="N19" i="4" s="1"/>
  <c r="R19" i="4"/>
  <c r="O19" i="4"/>
  <c r="D25" i="1"/>
  <c r="D18" i="1"/>
  <c r="S19" i="4" l="1"/>
  <c r="D24" i="1"/>
  <c r="D17" i="1"/>
  <c r="D61" i="2" l="1"/>
  <c r="D60" i="2" s="1"/>
  <c r="D58" i="2"/>
  <c r="D57" i="2" s="1"/>
  <c r="D47" i="2"/>
  <c r="F47" i="2" s="1"/>
  <c r="D38" i="2"/>
  <c r="G38" i="2" s="1"/>
  <c r="D31" i="2" l="1"/>
  <c r="D25" i="2"/>
  <c r="D26" i="2"/>
  <c r="D17" i="2"/>
  <c r="D14" i="2"/>
  <c r="D22" i="1"/>
  <c r="D13" i="1"/>
  <c r="D12" i="1" s="1"/>
  <c r="D8" i="2"/>
  <c r="D8" i="1"/>
  <c r="D30" i="2" l="1"/>
  <c r="D21" i="1"/>
  <c r="D7" i="2"/>
  <c r="D7" i="1"/>
  <c r="I5" i="5"/>
  <c r="G8" i="4"/>
  <c r="G6" i="5" s="1"/>
  <c r="G9" i="4"/>
  <c r="G7" i="5" s="1"/>
  <c r="G10" i="4"/>
  <c r="G8" i="5" s="1"/>
  <c r="G11" i="4"/>
  <c r="G9" i="5" s="1"/>
  <c r="G12" i="4"/>
  <c r="G10" i="5" s="1"/>
  <c r="G13" i="4"/>
  <c r="G11" i="5" s="1"/>
  <c r="G14" i="4"/>
  <c r="G12" i="5" s="1"/>
  <c r="G15" i="4"/>
  <c r="G13" i="5" s="1"/>
  <c r="G16" i="4"/>
  <c r="G14" i="5" s="1"/>
  <c r="G17" i="4"/>
  <c r="G15" i="5" s="1"/>
  <c r="G18" i="4"/>
  <c r="G16" i="5" s="1"/>
  <c r="G7" i="4"/>
  <c r="F9" i="3"/>
  <c r="D6" i="1" l="1"/>
  <c r="G6" i="4"/>
  <c r="I9" i="3"/>
  <c r="K9" i="3" s="1"/>
  <c r="G5" i="5"/>
  <c r="G4" i="5" s="1"/>
  <c r="D6" i="2"/>
  <c r="F31" i="2"/>
  <c r="I10" i="4" l="1"/>
  <c r="I8" i="5"/>
  <c r="J8" i="5" s="1"/>
  <c r="F25" i="2"/>
  <c r="F26" i="2"/>
  <c r="F17" i="2"/>
  <c r="F30" i="2" l="1"/>
  <c r="H13" i="5"/>
  <c r="H12" i="5"/>
  <c r="H5" i="5"/>
  <c r="J14" i="4"/>
  <c r="J15" i="4"/>
  <c r="J7" i="4"/>
  <c r="J5" i="5" l="1"/>
  <c r="J16" i="3" l="1"/>
  <c r="J13" i="3"/>
  <c r="J11" i="3"/>
  <c r="J6" i="3"/>
  <c r="H15" i="5" l="1"/>
  <c r="E6" i="5"/>
  <c r="E7" i="5"/>
  <c r="E8" i="5"/>
  <c r="E9" i="5"/>
  <c r="E10" i="5"/>
  <c r="E11" i="5"/>
  <c r="E12" i="5"/>
  <c r="E13" i="5"/>
  <c r="E14" i="5"/>
  <c r="E15" i="5"/>
  <c r="E16" i="5"/>
  <c r="E5" i="5"/>
  <c r="J17" i="4"/>
  <c r="E18" i="4"/>
  <c r="E17" i="4"/>
  <c r="E16" i="4"/>
  <c r="E15" i="4"/>
  <c r="E14" i="4"/>
  <c r="E13" i="4"/>
  <c r="E12" i="4"/>
  <c r="E11" i="4"/>
  <c r="E10" i="4"/>
  <c r="E9" i="4"/>
  <c r="E8" i="4"/>
  <c r="E7" i="4"/>
  <c r="F17" i="3"/>
  <c r="F16" i="3"/>
  <c r="I16" i="3" s="1"/>
  <c r="K16" i="3" s="1"/>
  <c r="F15" i="3"/>
  <c r="F14" i="3"/>
  <c r="I14" i="3" s="1"/>
  <c r="K14" i="3" s="1"/>
  <c r="F13" i="3"/>
  <c r="F12" i="3"/>
  <c r="I12" i="3" s="1"/>
  <c r="K12" i="3" s="1"/>
  <c r="F11" i="3"/>
  <c r="F10" i="3"/>
  <c r="I10" i="3" s="1"/>
  <c r="K10" i="3" s="1"/>
  <c r="F8" i="3"/>
  <c r="I8" i="3" s="1"/>
  <c r="F7" i="3"/>
  <c r="F6" i="3"/>
  <c r="E6" i="4" l="1"/>
  <c r="F5" i="3"/>
  <c r="E4" i="5"/>
  <c r="I17" i="3"/>
  <c r="I15" i="3"/>
  <c r="K15" i="3" s="1"/>
  <c r="I13" i="3"/>
  <c r="K13" i="3" s="1"/>
  <c r="I11" i="3"/>
  <c r="K11" i="3" s="1"/>
  <c r="K6" i="3"/>
  <c r="I7" i="3"/>
  <c r="I5" i="3" l="1"/>
  <c r="I18" i="4"/>
  <c r="I16" i="5"/>
  <c r="I16" i="4"/>
  <c r="I14" i="5"/>
  <c r="J14" i="5" s="1"/>
  <c r="I12" i="5"/>
  <c r="J12" i="5" s="1"/>
  <c r="I14" i="4"/>
  <c r="I6" i="5"/>
  <c r="I8" i="4"/>
  <c r="I17" i="4"/>
  <c r="I15" i="5"/>
  <c r="J15" i="5" s="1"/>
  <c r="I12" i="4"/>
  <c r="I10" i="5"/>
  <c r="J10" i="5" s="1"/>
  <c r="I11" i="4"/>
  <c r="I9" i="5"/>
  <c r="J9" i="5" s="1"/>
  <c r="I9" i="4"/>
  <c r="I7" i="5"/>
  <c r="J17" i="3" l="1"/>
  <c r="K17" i="3" s="1"/>
  <c r="J8" i="3"/>
  <c r="K8" i="3" s="1"/>
  <c r="J7" i="3"/>
  <c r="J18" i="4"/>
  <c r="J9" i="4"/>
  <c r="J8" i="4"/>
  <c r="F18" i="4"/>
  <c r="F17" i="4"/>
  <c r="K17" i="4" s="1"/>
  <c r="F16" i="4"/>
  <c r="K16" i="4" s="1"/>
  <c r="F15" i="4"/>
  <c r="F14" i="4"/>
  <c r="K14" i="4" s="1"/>
  <c r="F13" i="4"/>
  <c r="F12" i="4"/>
  <c r="K12" i="4" s="1"/>
  <c r="F11" i="4"/>
  <c r="K11" i="4" s="1"/>
  <c r="F10" i="4"/>
  <c r="K10" i="4" s="1"/>
  <c r="F9" i="4"/>
  <c r="F8" i="4"/>
  <c r="F7" i="4"/>
  <c r="F15" i="5"/>
  <c r="H16" i="5"/>
  <c r="J16" i="5" s="1"/>
  <c r="H7" i="5"/>
  <c r="J7" i="5" s="1"/>
  <c r="H6" i="5"/>
  <c r="F7" i="5"/>
  <c r="H4" i="5" l="1"/>
  <c r="J6" i="4"/>
  <c r="J5" i="3"/>
  <c r="F6" i="4"/>
  <c r="K7" i="3"/>
  <c r="K5" i="3" s="1"/>
  <c r="K8" i="4"/>
  <c r="K7" i="4"/>
  <c r="K9" i="4"/>
  <c r="K18" i="4"/>
  <c r="J6" i="5"/>
  <c r="K15" i="5"/>
  <c r="L15" i="5" s="1"/>
  <c r="K7" i="5"/>
  <c r="L7" i="5" s="1"/>
  <c r="M15" i="5" l="1"/>
  <c r="M7" i="5"/>
  <c r="G10" i="7" l="1"/>
  <c r="D7" i="7"/>
  <c r="G7" i="7"/>
  <c r="C27" i="6"/>
  <c r="F16" i="5"/>
  <c r="F14" i="5"/>
  <c r="F13" i="5"/>
  <c r="F12" i="5"/>
  <c r="F11" i="5"/>
  <c r="F10" i="5"/>
  <c r="F9" i="5"/>
  <c r="F8" i="5"/>
  <c r="F6" i="5"/>
  <c r="F5" i="5"/>
  <c r="L17" i="3"/>
  <c r="P17" i="3" s="1"/>
  <c r="L16" i="3"/>
  <c r="P16" i="3" s="1"/>
  <c r="L15" i="3"/>
  <c r="P15" i="3" s="1"/>
  <c r="L14" i="3"/>
  <c r="P14" i="3" s="1"/>
  <c r="L13" i="3"/>
  <c r="P13" i="3" s="1"/>
  <c r="L12" i="3"/>
  <c r="Q12" i="3" s="1"/>
  <c r="L11" i="3"/>
  <c r="P11" i="3" s="1"/>
  <c r="L10" i="3"/>
  <c r="P10" i="3" s="1"/>
  <c r="L9" i="3"/>
  <c r="Q9" i="3" s="1"/>
  <c r="L7" i="3"/>
  <c r="Q7" i="3" s="1"/>
  <c r="L6" i="3"/>
  <c r="P6" i="3" s="1"/>
  <c r="P5" i="3" s="1"/>
  <c r="F4" i="5" l="1"/>
  <c r="I13" i="5"/>
  <c r="J13" i="5" s="1"/>
  <c r="K13" i="5" s="1"/>
  <c r="L13" i="5" s="1"/>
  <c r="I15" i="4"/>
  <c r="K15" i="4" s="1"/>
  <c r="R14" i="3"/>
  <c r="I13" i="4"/>
  <c r="I11" i="5"/>
  <c r="I4" i="5" s="1"/>
  <c r="R12" i="3"/>
  <c r="M10" i="3"/>
  <c r="N10" i="3" s="1"/>
  <c r="Q10" i="3"/>
  <c r="M6" i="3"/>
  <c r="S6" i="3" s="1"/>
  <c r="T6" i="3" s="1"/>
  <c r="T5" i="3" s="1"/>
  <c r="O15" i="3"/>
  <c r="O6" i="3"/>
  <c r="O5" i="3" s="1"/>
  <c r="O10" i="3"/>
  <c r="M14" i="3"/>
  <c r="S14" i="3" s="1"/>
  <c r="U14" i="3" s="1"/>
  <c r="Q15" i="3"/>
  <c r="M17" i="3"/>
  <c r="S17" i="3" s="1"/>
  <c r="U17" i="3" s="1"/>
  <c r="L5" i="3"/>
  <c r="Q6" i="3"/>
  <c r="Q5" i="3" s="1"/>
  <c r="O14" i="3"/>
  <c r="O17" i="3"/>
  <c r="Q14" i="3"/>
  <c r="M15" i="3"/>
  <c r="Q17" i="3"/>
  <c r="K5" i="5"/>
  <c r="K8" i="5"/>
  <c r="L8" i="5" s="1"/>
  <c r="K9" i="5"/>
  <c r="L9" i="5" s="1"/>
  <c r="K12" i="5"/>
  <c r="L12" i="5" s="1"/>
  <c r="K14" i="5"/>
  <c r="L14" i="5" s="1"/>
  <c r="K16" i="5"/>
  <c r="L16" i="5" s="1"/>
  <c r="R15" i="3"/>
  <c r="R9" i="3"/>
  <c r="R7" i="3"/>
  <c r="C28" i="6"/>
  <c r="G11" i="7"/>
  <c r="O7" i="3"/>
  <c r="O9" i="3"/>
  <c r="R11" i="3"/>
  <c r="M11" i="3"/>
  <c r="Q11" i="3"/>
  <c r="O12" i="3"/>
  <c r="M13" i="3"/>
  <c r="Q13" i="3"/>
  <c r="R16" i="3"/>
  <c r="M16" i="3"/>
  <c r="Q16" i="3"/>
  <c r="L11" i="4"/>
  <c r="P7" i="3"/>
  <c r="P9" i="3"/>
  <c r="R10" i="3"/>
  <c r="P12" i="3"/>
  <c r="R13" i="3"/>
  <c r="M7" i="3"/>
  <c r="M9" i="3"/>
  <c r="O11" i="3"/>
  <c r="M12" i="3"/>
  <c r="O13" i="3"/>
  <c r="O16" i="3"/>
  <c r="K6" i="5"/>
  <c r="L6" i="5" s="1"/>
  <c r="K10" i="5"/>
  <c r="L10" i="5" s="1"/>
  <c r="I6" i="4" l="1"/>
  <c r="N17" i="3"/>
  <c r="S10" i="3"/>
  <c r="U10" i="3" s="1"/>
  <c r="N14" i="3"/>
  <c r="N6" i="3"/>
  <c r="N5" i="3" s="1"/>
  <c r="M11" i="4"/>
  <c r="N11" i="4" s="1"/>
  <c r="R11" i="4"/>
  <c r="O11" i="4"/>
  <c r="K13" i="4"/>
  <c r="K6" i="4" s="1"/>
  <c r="J11" i="5"/>
  <c r="J4" i="5" s="1"/>
  <c r="M5" i="3"/>
  <c r="L5" i="5"/>
  <c r="T17" i="3"/>
  <c r="R17" i="3"/>
  <c r="T14" i="3"/>
  <c r="R6" i="3"/>
  <c r="L10" i="4"/>
  <c r="S5" i="3"/>
  <c r="U6" i="3"/>
  <c r="U5" i="3" s="1"/>
  <c r="N15" i="3"/>
  <c r="S15" i="3"/>
  <c r="M14" i="5"/>
  <c r="L7" i="4"/>
  <c r="M16" i="5"/>
  <c r="L18" i="4"/>
  <c r="L12" i="4"/>
  <c r="L17" i="4"/>
  <c r="L8" i="4"/>
  <c r="L9" i="4"/>
  <c r="M13" i="5"/>
  <c r="M10" i="5"/>
  <c r="M6" i="5"/>
  <c r="L15" i="4"/>
  <c r="L14" i="4"/>
  <c r="N12" i="3"/>
  <c r="S12" i="3"/>
  <c r="N7" i="3"/>
  <c r="S7" i="3"/>
  <c r="S16" i="3"/>
  <c r="N16" i="3"/>
  <c r="S11" i="3"/>
  <c r="N11" i="3"/>
  <c r="M9" i="5"/>
  <c r="M8" i="5"/>
  <c r="S13" i="3"/>
  <c r="N13" i="3"/>
  <c r="L16" i="4"/>
  <c r="M12" i="5"/>
  <c r="N9" i="3"/>
  <c r="S9" i="3"/>
  <c r="T10" i="3" l="1"/>
  <c r="L13" i="4"/>
  <c r="M13" i="4" s="1"/>
  <c r="N13" i="4" s="1"/>
  <c r="R9" i="4"/>
  <c r="O9" i="4"/>
  <c r="M9" i="4"/>
  <c r="N9" i="4" s="1"/>
  <c r="R15" i="4"/>
  <c r="O15" i="4"/>
  <c r="M15" i="4"/>
  <c r="N15" i="4" s="1"/>
  <c r="R16" i="4"/>
  <c r="O16" i="4"/>
  <c r="M16" i="4"/>
  <c r="N16" i="4" s="1"/>
  <c r="R17" i="4"/>
  <c r="O17" i="4"/>
  <c r="M17" i="4"/>
  <c r="N17" i="4" s="1"/>
  <c r="M7" i="4"/>
  <c r="R7" i="4"/>
  <c r="O7" i="4"/>
  <c r="R10" i="4"/>
  <c r="O10" i="4"/>
  <c r="M10" i="4"/>
  <c r="N10" i="4" s="1"/>
  <c r="R18" i="4"/>
  <c r="O18" i="4"/>
  <c r="M18" i="4"/>
  <c r="N18" i="4" s="1"/>
  <c r="R8" i="4"/>
  <c r="O8" i="4"/>
  <c r="M8" i="4"/>
  <c r="N8" i="4" s="1"/>
  <c r="R14" i="4"/>
  <c r="O14" i="4"/>
  <c r="M14" i="4"/>
  <c r="N14" i="4" s="1"/>
  <c r="R12" i="4"/>
  <c r="O12" i="4"/>
  <c r="M12" i="4"/>
  <c r="N12" i="4" s="1"/>
  <c r="R5" i="3"/>
  <c r="K11" i="5"/>
  <c r="K4" i="5" s="1"/>
  <c r="M5" i="5"/>
  <c r="U15" i="3"/>
  <c r="T15" i="3"/>
  <c r="U9" i="3"/>
  <c r="T9" i="3"/>
  <c r="T16" i="3"/>
  <c r="U16" i="3"/>
  <c r="U12" i="3"/>
  <c r="T12" i="3"/>
  <c r="T11" i="3"/>
  <c r="U11" i="3"/>
  <c r="T13" i="3"/>
  <c r="U13" i="3"/>
  <c r="S11" i="4"/>
  <c r="U7" i="3"/>
  <c r="T7" i="3"/>
  <c r="L6" i="4" l="1"/>
  <c r="M6" i="4"/>
  <c r="R6" i="4"/>
  <c r="O13" i="4"/>
  <c r="O6" i="4" s="1"/>
  <c r="R13" i="4"/>
  <c r="N7" i="4"/>
  <c r="N6" i="4" s="1"/>
  <c r="L11" i="5"/>
  <c r="L4" i="5" s="1"/>
  <c r="S10" i="4"/>
  <c r="S18" i="4"/>
  <c r="S12" i="4"/>
  <c r="S17" i="4"/>
  <c r="S15" i="4"/>
  <c r="S14" i="4"/>
  <c r="S8" i="4"/>
  <c r="S16" i="4"/>
  <c r="S9" i="4"/>
  <c r="S13" i="4" l="1"/>
  <c r="M11" i="5"/>
  <c r="M4" i="5" s="1"/>
  <c r="S7" i="4"/>
  <c r="S6" i="4" l="1"/>
</calcChain>
</file>

<file path=xl/sharedStrings.xml><?xml version="1.0" encoding="utf-8"?>
<sst xmlns="http://schemas.openxmlformats.org/spreadsheetml/2006/main" count="432" uniqueCount="315">
  <si>
    <t>생 계 비
-생계비
-춘계부식/김장비
-월동대책비
-특별위로비</t>
  </si>
  <si>
    <t>수용기관경비
-수용기관경비
-아동용돈
-하계수련비</t>
  </si>
  <si>
    <t>교통안전,재난대비,약물오남용
실종예방,성폭력예방</t>
  </si>
  <si>
    <t>주부식비통합
-피복비
-취사연료 포함</t>
  </si>
  <si>
    <t>퇴직금및
퇴직적립금</t>
  </si>
  <si>
    <t>정서지원
프로그램</t>
  </si>
  <si>
    <t>의무교육
프로그램</t>
  </si>
  <si>
    <t>문화체험
사업비</t>
  </si>
  <si>
    <t>프로그램
사업비</t>
  </si>
  <si>
    <t>비        교</t>
  </si>
  <si>
    <t>비         교</t>
  </si>
  <si>
    <t>합      계</t>
  </si>
  <si>
    <t>사 용 자 부 담</t>
  </si>
  <si>
    <t>바우처
프로그램</t>
  </si>
  <si>
    <t>기타예금
이자수입</t>
  </si>
  <si>
    <t>(단위 : 천원)</t>
  </si>
  <si>
    <t>산  출  기  초</t>
  </si>
  <si>
    <t>아동개인결연
프로그램</t>
  </si>
  <si>
    <t>사회보험
부담비용</t>
  </si>
  <si>
    <t>법인전입금
(후원금)</t>
  </si>
  <si>
    <t>학습보조비(중등)</t>
  </si>
  <si>
    <t>80,000/년1인당</t>
  </si>
  <si>
    <t>아동용돈(초등)</t>
  </si>
  <si>
    <t>89,237/월</t>
  </si>
  <si>
    <t>22,500/월1인당</t>
  </si>
  <si>
    <t>수용비및
수수료</t>
  </si>
  <si>
    <t>학습보조비(초등)</t>
  </si>
  <si>
    <t>춘계부식비/월동김장비</t>
  </si>
  <si>
    <t>85,000/년1인당</t>
  </si>
  <si>
    <t>14,270/년1인당</t>
  </si>
  <si>
    <t>특별위로비(설,추석)</t>
  </si>
  <si>
    <t>이월금</t>
  </si>
  <si>
    <t>교통비</t>
  </si>
  <si>
    <t>교육비</t>
  </si>
  <si>
    <t>잡지출</t>
  </si>
  <si>
    <t>전입금</t>
  </si>
  <si>
    <t>시설비</t>
  </si>
  <si>
    <t>목</t>
  </si>
  <si>
    <t>감</t>
  </si>
  <si>
    <t>잡수입</t>
  </si>
  <si>
    <t>사무비</t>
  </si>
  <si>
    <t>피복비</t>
  </si>
  <si>
    <t>지원금</t>
  </si>
  <si>
    <t>운영비</t>
  </si>
  <si>
    <t>증</t>
  </si>
  <si>
    <t>예비비</t>
  </si>
  <si>
    <t>소계</t>
  </si>
  <si>
    <t>인건비</t>
  </si>
  <si>
    <t>사업비</t>
  </si>
  <si>
    <t>공제액</t>
  </si>
  <si>
    <t>기준액</t>
  </si>
  <si>
    <t>김영순</t>
  </si>
  <si>
    <t>총급여</t>
  </si>
  <si>
    <t>연2회</t>
  </si>
  <si>
    <t>사무원</t>
  </si>
  <si>
    <t>관</t>
  </si>
  <si>
    <t>시간</t>
  </si>
  <si>
    <t>기본급</t>
  </si>
  <si>
    <t>윤기영</t>
  </si>
  <si>
    <t xml:space="preserve">항 </t>
  </si>
  <si>
    <t>계</t>
  </si>
  <si>
    <t>구 분</t>
  </si>
  <si>
    <t>합계</t>
  </si>
  <si>
    <t>윤지희</t>
  </si>
  <si>
    <t>급여계</t>
  </si>
  <si>
    <t>호봉</t>
  </si>
  <si>
    <t>성명</t>
  </si>
  <si>
    <t>직책</t>
  </si>
  <si>
    <t>월</t>
  </si>
  <si>
    <t>예산액</t>
  </si>
  <si>
    <t>합 계</t>
  </si>
  <si>
    <t>NO</t>
  </si>
  <si>
    <t>소 계</t>
  </si>
  <si>
    <t>연1회</t>
  </si>
  <si>
    <t>김문정</t>
  </si>
  <si>
    <t>김희련</t>
  </si>
  <si>
    <t>비 고</t>
  </si>
  <si>
    <t>성애원</t>
  </si>
  <si>
    <t>강명수</t>
  </si>
  <si>
    <t>3세미만 명*22,500원*12월</t>
  </si>
  <si>
    <t>여    비</t>
  </si>
  <si>
    <t>시도보조금</t>
  </si>
  <si>
    <t>연 료 비</t>
  </si>
  <si>
    <t>학용품비</t>
  </si>
  <si>
    <t>비지정후원금</t>
  </si>
  <si>
    <t>과     목</t>
  </si>
  <si>
    <t>(단위:천원)</t>
  </si>
  <si>
    <t>합    계</t>
  </si>
  <si>
    <t>전년도이월금</t>
  </si>
  <si>
    <t>급    여</t>
  </si>
  <si>
    <t>학습지원비</t>
  </si>
  <si>
    <t>수학여행비</t>
  </si>
  <si>
    <t>기타운영비</t>
  </si>
  <si>
    <t xml:space="preserve">잡지출 </t>
  </si>
  <si>
    <t>기타후생경비</t>
  </si>
  <si>
    <t>치료재활사업비</t>
  </si>
  <si>
    <t>기타잡수입</t>
  </si>
  <si>
    <t>법인전입금</t>
  </si>
  <si>
    <t>산 출 기 초</t>
  </si>
  <si>
    <t>지정후원금</t>
  </si>
  <si>
    <t>차 량 비</t>
  </si>
  <si>
    <t>시설장비유지비</t>
  </si>
  <si>
    <t>공공요금</t>
  </si>
  <si>
    <t>교 통 비</t>
  </si>
  <si>
    <t>제세공과금</t>
  </si>
  <si>
    <t>보조금수입</t>
  </si>
  <si>
    <t>업무추진비</t>
  </si>
  <si>
    <t>국고보조금</t>
  </si>
  <si>
    <t>세 출 부</t>
  </si>
  <si>
    <t>제 수 당</t>
  </si>
  <si>
    <t>이미용비</t>
  </si>
  <si>
    <t>피 복 비</t>
  </si>
  <si>
    <t>재산조성비</t>
  </si>
  <si>
    <t>(단위:원)</t>
  </si>
  <si>
    <t>회 의 비</t>
  </si>
  <si>
    <t>의 료 비</t>
  </si>
  <si>
    <t>후원금수입</t>
  </si>
  <si>
    <t>자산취득비</t>
  </si>
  <si>
    <t>기타교육비</t>
  </si>
  <si>
    <t>기관운영비</t>
  </si>
  <si>
    <t>행사지원비</t>
  </si>
  <si>
    <t>기타보조금</t>
  </si>
  <si>
    <t>표준보수월액</t>
  </si>
  <si>
    <t>생활지도원7</t>
  </si>
  <si>
    <t>자립전담요원</t>
  </si>
  <si>
    <t>생활지도원1</t>
  </si>
  <si>
    <t>생활지도원2</t>
  </si>
  <si>
    <t>생활지도원8</t>
  </si>
  <si>
    <t>생활지도원4</t>
  </si>
  <si>
    <t>아동용돈(중)</t>
  </si>
  <si>
    <t>하계수련비</t>
  </si>
  <si>
    <t>영아위생대</t>
  </si>
  <si>
    <t>장기
요양보험</t>
  </si>
  <si>
    <t>환경개선비</t>
  </si>
  <si>
    <t>시간외수당</t>
  </si>
  <si>
    <t>퇴직적립금</t>
  </si>
  <si>
    <t>산재보험</t>
  </si>
  <si>
    <t>3세이상</t>
  </si>
  <si>
    <t>차감지급액</t>
  </si>
  <si>
    <t>명절휴가비</t>
  </si>
  <si>
    <t>지급회수</t>
  </si>
  <si>
    <t>국민연금</t>
  </si>
  <si>
    <t>합  계</t>
  </si>
  <si>
    <t>제수당계</t>
  </si>
  <si>
    <t>고용보험</t>
  </si>
  <si>
    <t>안전관리비</t>
  </si>
  <si>
    <t>성 애 원</t>
  </si>
  <si>
    <t>취사연료비</t>
  </si>
  <si>
    <t>기본급계</t>
  </si>
  <si>
    <t>가족수당</t>
  </si>
  <si>
    <t>계(C)</t>
  </si>
  <si>
    <t>예상
인원</t>
  </si>
  <si>
    <t>건강보험</t>
  </si>
  <si>
    <t>명절위로비</t>
  </si>
  <si>
    <t>지급기준</t>
  </si>
  <si>
    <t>월동대책비</t>
  </si>
  <si>
    <t>산출내역</t>
  </si>
  <si>
    <t>원  장</t>
  </si>
  <si>
    <t>3세미만</t>
  </si>
  <si>
    <t>주부식비</t>
  </si>
  <si>
    <t>생활지도원6</t>
  </si>
  <si>
    <t>표준보수액</t>
  </si>
  <si>
    <t>교 복 비</t>
  </si>
  <si>
    <t>4,570,000/3년마다</t>
  </si>
  <si>
    <t>명*89,237원*12월</t>
  </si>
  <si>
    <t>2,000,000/년1회</t>
  </si>
  <si>
    <t>퇴직적립금
(A/12)</t>
  </si>
  <si>
    <t>100,000/년1인당</t>
  </si>
  <si>
    <t>1,600/일1인당,240일</t>
  </si>
  <si>
    <t>예체능
프로그램</t>
    <phoneticPr fontId="18" type="noConversion"/>
  </si>
  <si>
    <t>한재범</t>
    <phoneticPr fontId="18" type="noConversion"/>
  </si>
  <si>
    <t>박지혜</t>
    <phoneticPr fontId="18" type="noConversion"/>
  </si>
  <si>
    <t>권선정</t>
    <phoneticPr fontId="18" type="noConversion"/>
  </si>
  <si>
    <t>노미아</t>
    <phoneticPr fontId="18" type="noConversion"/>
  </si>
  <si>
    <t>조숙</t>
    <phoneticPr fontId="18" type="noConversion"/>
  </si>
  <si>
    <t>김희현</t>
    <phoneticPr fontId="18" type="noConversion"/>
  </si>
  <si>
    <t>권미정</t>
    <phoneticPr fontId="18" type="noConversion"/>
  </si>
  <si>
    <t>현명길</t>
    <phoneticPr fontId="18" type="noConversion"/>
  </si>
  <si>
    <t>퇴직연금수수료</t>
    <phoneticPr fontId="18" type="noConversion"/>
  </si>
  <si>
    <t>치료기관 직접 지원으로 사업내용변경
진단검사비 300,000*2명 = 600,000
계                      600,000</t>
    <phoneticPr fontId="18" type="noConversion"/>
  </si>
  <si>
    <t>행동개선프로그램    30,000*10명=  300,000
치료프로그램         70,000*5명=  350,000
기타정서지원프로그램 71,600원*10명=716,000 
계                              1,366,000</t>
    <phoneticPr fontId="18" type="noConversion"/>
  </si>
  <si>
    <t>아동용돈(고)</t>
    <phoneticPr fontId="18" type="noConversion"/>
  </si>
  <si>
    <t>학습보조비(고등)</t>
    <phoneticPr fontId="18" type="noConversion"/>
  </si>
  <si>
    <t>120,000/년1인당</t>
    <phoneticPr fontId="18" type="noConversion"/>
  </si>
  <si>
    <t>사무원</t>
    <phoneticPr fontId="18" type="noConversion"/>
  </si>
  <si>
    <t>최연아</t>
    <phoneticPr fontId="18" type="noConversion"/>
  </si>
  <si>
    <t>조유미</t>
    <phoneticPr fontId="18" type="noConversion"/>
  </si>
  <si>
    <t>생활지도원</t>
    <phoneticPr fontId="18" type="noConversion"/>
  </si>
  <si>
    <t>손소영</t>
    <phoneticPr fontId="18" type="noConversion"/>
  </si>
  <si>
    <t>김도윤</t>
    <phoneticPr fontId="18" type="noConversion"/>
  </si>
  <si>
    <t>조리원</t>
    <phoneticPr fontId="18" type="noConversion"/>
  </si>
  <si>
    <t>이명숙</t>
    <phoneticPr fontId="18" type="noConversion"/>
  </si>
  <si>
    <t>조리원</t>
    <phoneticPr fontId="18" type="noConversion"/>
  </si>
  <si>
    <t>생활지도원3</t>
  </si>
  <si>
    <t>생활지도원5</t>
  </si>
  <si>
    <t>예비비</t>
    <phoneticPr fontId="18" type="noConversion"/>
  </si>
  <si>
    <t>교복비 300,000*15명*2회= 6,600,000</t>
    <phoneticPr fontId="18" type="noConversion"/>
  </si>
  <si>
    <t>문화체험비 30명*14,000*12월=5,040,000</t>
    <phoneticPr fontId="18" type="noConversion"/>
  </si>
  <si>
    <t>후원자 감사패      66,000원*8개=  528,000
후원자 감사선물  900,000원*2회=  1,800,000
기타 기관운영비                    586,000
  계                            2,914,000</t>
    <phoneticPr fontId="18" type="noConversion"/>
  </si>
  <si>
    <t>시설운영위원회의비 100,000*4분기= 400,000
사례회의비        20,000원*12월=  240,000
후원자간담회비    30,000원*4분기= 120,000
계                               760,000</t>
    <phoneticPr fontId="18" type="noConversion"/>
  </si>
  <si>
    <t>후원금이자</t>
    <phoneticPr fontId="18" type="noConversion"/>
  </si>
  <si>
    <t>이지환</t>
    <phoneticPr fontId="18" type="noConversion"/>
  </si>
  <si>
    <t>30명*1,600원*240일=11,520,000원</t>
    <phoneticPr fontId="18" type="noConversion"/>
  </si>
  <si>
    <t>이지환</t>
    <phoneticPr fontId="18" type="noConversion"/>
  </si>
  <si>
    <t>종사자급식비</t>
    <phoneticPr fontId="18" type="noConversion"/>
  </si>
  <si>
    <t>산재보험
(0.9%)</t>
    <phoneticPr fontId="18" type="noConversion"/>
  </si>
  <si>
    <t xml:space="preserve">학용품구입 3,000*30명*12월=    1,080,000                      </t>
    <phoneticPr fontId="18" type="noConversion"/>
  </si>
  <si>
    <t>바우처지원비 월100,000*12월=1,200,000</t>
    <phoneticPr fontId="18" type="noConversion"/>
  </si>
  <si>
    <t>학습재료 등 31,809*35명= 1,113,315</t>
    <phoneticPr fontId="18" type="noConversion"/>
  </si>
  <si>
    <t>30명</t>
    <phoneticPr fontId="18" type="noConversion"/>
  </si>
  <si>
    <t>국민연금
(4.5%)</t>
    <phoneticPr fontId="18" type="noConversion"/>
  </si>
  <si>
    <t>건강보험
(3.335%)</t>
    <phoneticPr fontId="18" type="noConversion"/>
  </si>
  <si>
    <t>장기
요양보험
(10.25%)</t>
    <phoneticPr fontId="18" type="noConversion"/>
  </si>
  <si>
    <t>고용보험
(0.8%)</t>
    <phoneticPr fontId="18" type="noConversion"/>
  </si>
  <si>
    <t xml:space="preserve"> </t>
    <phoneticPr fontId="18" type="noConversion"/>
  </si>
  <si>
    <t xml:space="preserve">예체능  95,083*12월= 1,141,000
</t>
    <phoneticPr fontId="18" type="noConversion"/>
  </si>
  <si>
    <t>아동 30명*5,662*12월= 2,038,320
생일파티 30명*55,000= 1,650,000
인솔자프로그램사업비 17,000*4*6=408,000
계                           4,096,320</t>
    <phoneticPr fontId="18" type="noConversion"/>
  </si>
  <si>
    <t>생활지도원</t>
    <phoneticPr fontId="18" type="noConversion"/>
  </si>
  <si>
    <t>30명기준</t>
    <phoneticPr fontId="18" type="noConversion"/>
  </si>
  <si>
    <t>30명*14,270원*년1회=428,100원</t>
    <phoneticPr fontId="18" type="noConversion"/>
  </si>
  <si>
    <t>30명</t>
    <phoneticPr fontId="18" type="noConversion"/>
  </si>
  <si>
    <t>중2학년   3명*120,000원=360,000원
고2학년   7명*120,000원=840,000원</t>
    <phoneticPr fontId="18" type="noConversion"/>
  </si>
  <si>
    <t>2,240*30명*12개월=806,400원</t>
    <phoneticPr fontId="18" type="noConversion"/>
  </si>
  <si>
    <t>38,000원*30명*1회=1,140,000원</t>
    <phoneticPr fontId="18" type="noConversion"/>
  </si>
  <si>
    <t>명절선물구입 16명*10,000*2회=   320,000
직원워크샵   14명*15,000*1회=   210,000
공로패제작    2명*66,000    =   132,000
생일축하금   16명*30,000    =   480,000
포상선물비    2명*50,000    =   100,000
퇴직연금수수료(전입금)         1,200,000
계                           2,442,000</t>
    <phoneticPr fontId="18" type="noConversion"/>
  </si>
  <si>
    <t xml:space="preserve">직원교육비  84,000*16명=1,344,000
직원출장비 100,000*16월=1,600,000
시설장 세미나비           500,000
사무국장 세미나비         400,000
계                     3,844,000 </t>
    <phoneticPr fontId="18" type="noConversion"/>
  </si>
  <si>
    <t xml:space="preserve">
수학여행비 중고등 10명*120,000원=1,200,000
중등 수련회비      50,000*28명*1회=750,000
계                              1,950,000                    
                        </t>
    <phoneticPr fontId="18" type="noConversion"/>
  </si>
  <si>
    <t>방역비</t>
    <phoneticPr fontId="18" type="noConversion"/>
  </si>
  <si>
    <t xml:space="preserve">코로나19 예방 방역물품구입비 </t>
    <phoneticPr fontId="18" type="noConversion"/>
  </si>
  <si>
    <t>방역비</t>
    <phoneticPr fontId="18" type="noConversion"/>
  </si>
  <si>
    <t>지자체예산</t>
    <phoneticPr fontId="18" type="noConversion"/>
  </si>
  <si>
    <t>전년도 예산 기준</t>
    <phoneticPr fontId="18" type="noConversion"/>
  </si>
  <si>
    <t>차량유류대     516,667*12월= 6,200,000
차량정비유지비 400,000*12월= 3,432,000
차량소모품비   400,000*12월= 3,428,000
계                         13,060,000</t>
    <phoneticPr fontId="18" type="noConversion"/>
  </si>
  <si>
    <t>진료비 및 약제비     50,000*12월= 600,000
입원비              250,000*2명=  500,000
수술비(포경수술 등) 250,000*2명=   500,000
약품구입            25,000*12월=  300,000
CT 및 MRI 촬영                    600,000
안경수선및제작비 50,000*4명*12월=1,882,000
계                             4,382,000</t>
    <phoneticPr fontId="18" type="noConversion"/>
  </si>
  <si>
    <t>종사자복지포인트</t>
    <phoneticPr fontId="18" type="noConversion"/>
  </si>
  <si>
    <t>세입부</t>
    <phoneticPr fontId="18" type="noConversion"/>
  </si>
  <si>
    <t>연 찬 회 : 3인  430,000원
축구,계주대회 : 360,000원
자립체험 : 4인  656,000원</t>
    <phoneticPr fontId="18" type="noConversion"/>
  </si>
  <si>
    <r>
      <rPr>
        <sz val="10"/>
        <color rgb="FF0000FF"/>
        <rFont val="바탕체"/>
        <family val="1"/>
        <charset val="129"/>
      </rPr>
      <t>28,000</t>
    </r>
    <r>
      <rPr>
        <sz val="10"/>
        <color rgb="FF000000"/>
        <rFont val="바탕체"/>
        <family val="1"/>
        <charset val="129"/>
      </rPr>
      <t>/월1인당</t>
    </r>
    <phoneticPr fontId="18" type="noConversion"/>
  </si>
  <si>
    <t>22,000/월1인당</t>
    <phoneticPr fontId="18" type="noConversion"/>
  </si>
  <si>
    <r>
      <rPr>
        <sz val="10"/>
        <color rgb="FFFF0000"/>
        <rFont val="바탕체"/>
        <family val="1"/>
        <charset val="129"/>
      </rPr>
      <t>40,000</t>
    </r>
    <r>
      <rPr>
        <sz val="10"/>
        <color rgb="FF000000"/>
        <rFont val="바탕체"/>
        <family val="1"/>
        <charset val="129"/>
      </rPr>
      <t>/월1인당</t>
    </r>
    <phoneticPr fontId="18" type="noConversion"/>
  </si>
  <si>
    <t>종사자복지포인트</t>
    <phoneticPr fontId="18" type="noConversion"/>
  </si>
  <si>
    <t>100,000/년1회</t>
    <phoneticPr fontId="18" type="noConversion"/>
  </si>
  <si>
    <t>고등학생16명*40,000원*12월=7,680,000원</t>
    <phoneticPr fontId="18" type="noConversion"/>
  </si>
  <si>
    <t>중학생  9명*28,000원*12월=3,024,000원</t>
    <phoneticPr fontId="18" type="noConversion"/>
  </si>
  <si>
    <t>9명</t>
    <phoneticPr fontId="18" type="noConversion"/>
  </si>
  <si>
    <t>16명</t>
    <phoneticPr fontId="18" type="noConversion"/>
  </si>
  <si>
    <t>4명</t>
    <phoneticPr fontId="18" type="noConversion"/>
  </si>
  <si>
    <t>초등학생 4명*22,000원*12월=1,056,000원</t>
    <phoneticPr fontId="18" type="noConversion"/>
  </si>
  <si>
    <t>10명</t>
    <phoneticPr fontId="18" type="noConversion"/>
  </si>
  <si>
    <t>고등학생 16명*120,000원*년1회=1,920,000원</t>
    <phoneticPr fontId="18" type="noConversion"/>
  </si>
  <si>
    <t>중 학 생  9명*100,000원*년1회=900,000원</t>
    <phoneticPr fontId="18" type="noConversion"/>
  </si>
  <si>
    <t>초등학생  4명*80,000원*년1회=320,000원</t>
    <phoneticPr fontId="18" type="noConversion"/>
  </si>
  <si>
    <t>254,627*30명*12개월=91,602,000원</t>
    <phoneticPr fontId="18" type="noConversion"/>
  </si>
  <si>
    <t>11,185*30명*12개월=4,026,600원</t>
    <phoneticPr fontId="18" type="noConversion"/>
  </si>
  <si>
    <t>주부식비
1식
2,790원
월 1인당
254,627원</t>
    <phoneticPr fontId="18" type="noConversion"/>
  </si>
  <si>
    <t>268,052*30명*12개월=96,498,720원</t>
    <phoneticPr fontId="18" type="noConversion"/>
  </si>
  <si>
    <t>17명*100,000원*년1회=1,700,000원</t>
    <phoneticPr fontId="18" type="noConversion"/>
  </si>
  <si>
    <t>17명기준</t>
    <phoneticPr fontId="18" type="noConversion"/>
  </si>
  <si>
    <t>종사자급식비(생활지도원)
              2명*70,000*12월  10,080,000
종사자급식비(사무실)5명*60,000원*12월 
                                3,600,000
 계                            13,680,000</t>
    <phoneticPr fontId="18" type="noConversion"/>
  </si>
  <si>
    <t>복지포인트 17명*100,000원</t>
    <phoneticPr fontId="18" type="noConversion"/>
  </si>
  <si>
    <t>아동이미용비      월300,000*12월=3,600,000
아동목욕비      16명*7,000*12월= 1,400,000
계                              5,000,000</t>
    <phoneticPr fontId="18" type="noConversion"/>
  </si>
  <si>
    <t xml:space="preserve"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정수기 렌탈료   180,000*12월= 2,160,000
기타                         2,156,000
계                          16,840,000 </t>
    <phoneticPr fontId="18" type="noConversion"/>
  </si>
  <si>
    <t>비지정후원금  115,190,000
지정후원금      1,500,000</t>
    <phoneticPr fontId="18" type="noConversion"/>
  </si>
  <si>
    <t>이하윤</t>
    <phoneticPr fontId="18" type="noConversion"/>
  </si>
  <si>
    <t>김소영</t>
    <phoneticPr fontId="18" type="noConversion"/>
  </si>
  <si>
    <t>정다솔</t>
    <phoneticPr fontId="18" type="noConversion"/>
  </si>
  <si>
    <t>허재원</t>
    <phoneticPr fontId="18" type="noConversion"/>
  </si>
  <si>
    <t>김상철</t>
    <phoneticPr fontId="18" type="noConversion"/>
  </si>
  <si>
    <t>3세이상 30명*30,000원*년1회=720,000원</t>
    <phoneticPr fontId="18" type="noConversion"/>
  </si>
  <si>
    <t>30,000/년1인당</t>
    <phoneticPr fontId="18" type="noConversion"/>
  </si>
  <si>
    <t>40,000/50,000</t>
    <phoneticPr fontId="18" type="noConversion"/>
  </si>
  <si>
    <t>40000원*30명=1,200,000원
50000원*30명=1,500,000원</t>
    <phoneticPr fontId="18" type="noConversion"/>
  </si>
  <si>
    <t>136,900/월</t>
    <phoneticPr fontId="18" type="noConversion"/>
  </si>
  <si>
    <t>30명*136,900원*12월=49,284,000원</t>
    <phoneticPr fontId="18" type="noConversion"/>
  </si>
  <si>
    <t>정다솔</t>
    <phoneticPr fontId="18" type="noConversion"/>
  </si>
  <si>
    <t>허재원</t>
    <phoneticPr fontId="18" type="noConversion"/>
  </si>
  <si>
    <t>김상철</t>
    <phoneticPr fontId="18" type="noConversion"/>
  </si>
  <si>
    <t>기본급     468,720,000</t>
    <phoneticPr fontId="18" type="noConversion"/>
  </si>
  <si>
    <t>명절휴가비   47,692,800
시간외수당   75,094,530
가족수당     10,560,000
계          133,347,330</t>
    <phoneticPr fontId="18" type="noConversion"/>
  </si>
  <si>
    <t>퇴직금및퇴직적립금 50,172,330</t>
    <phoneticPr fontId="18" type="noConversion"/>
  </si>
  <si>
    <t>국민건강보험 20,651,000
장기요양보험  1,757,470
국민연금보험 27,093,100
산재보험      5,160,000
고용보험      6,710,000
계           61,371,570</t>
    <phoneticPr fontId="18" type="noConversion"/>
  </si>
  <si>
    <t>건물유지비용     500,000*12월=6,000,000
전기안전관리비    88,000*12월=1,056,000                   소방안전관리비   143,000*12월=1,716,000
승강기안전관리비  99,000*12월=1,188,000  
장비유지비용    500,000*12월= 6,000,000
기타                         5,500,000
계                          21,460,000</t>
    <phoneticPr fontId="18" type="noConversion"/>
  </si>
  <si>
    <t>중등학생부교재비 25명*50,000*년1회 1,250,000
초등부교재비      4명*50,000*년1회   200,000
기타도서구입비   100,000*4분기=      400,000
계                                1,850,000</t>
    <phoneticPr fontId="18" type="noConversion"/>
  </si>
  <si>
    <t xml:space="preserve">도서구입비
</t>
    <phoneticPr fontId="18" type="noConversion"/>
  </si>
  <si>
    <t xml:space="preserve">학습보조비   고16명*120,000*년1회  1,920,000
             중9명*10000*년1회      900,000
             초4명*80,000*년1회     320,000학원비 1,000,000
</t>
    <phoneticPr fontId="18" type="noConversion"/>
  </si>
  <si>
    <t>개인결연금 30명 55,000,000</t>
    <phoneticPr fontId="18" type="noConversion"/>
  </si>
  <si>
    <t>시설비     12,100,000(건물유지보수)</t>
    <phoneticPr fontId="18" type="noConversion"/>
  </si>
  <si>
    <t>각종비품구입</t>
    <phoneticPr fontId="18" type="noConversion"/>
  </si>
  <si>
    <t xml:space="preserve">2022년도 성애원(시설) 세입 세출예산(안) </t>
    <phoneticPr fontId="18" type="noConversion"/>
  </si>
  <si>
    <t>전년도</t>
    <phoneticPr fontId="18" type="noConversion"/>
  </si>
  <si>
    <t>당해년도</t>
    <phoneticPr fontId="18" type="noConversion"/>
  </si>
  <si>
    <t>예 산 액</t>
    <phoneticPr fontId="18" type="noConversion"/>
  </si>
  <si>
    <t>예산액</t>
    <phoneticPr fontId="18" type="noConversion"/>
  </si>
  <si>
    <t>인건비     713,611,230
생계비     100,398,720
운영비      49,284,000
춘계부식비     428,100
행사지원금   1,446,000
계         865,168,050</t>
    <phoneticPr fontId="18" type="noConversion"/>
  </si>
  <si>
    <t>아동용돈       11,760,000
수련활동비        900,000
교통비         11,520,000
학습보조비      3,140,000
수학여행비      1,200,000
안전관리비      2,000,000
종사자복지포인트 1,600,000
방역비            518,000
계             32,558,000</t>
    <phoneticPr fontId="18" type="noConversion"/>
  </si>
  <si>
    <t>개인결연(개인후원,어린이재단,디딤씨앗)
아동연합회 경유 지정후원금
지역사회 지정후원금</t>
    <phoneticPr fontId="18" type="noConversion"/>
  </si>
  <si>
    <t>실습생급식비 2*30,000*2회       120,000
실습비      2명*70,000*2회      280,000
기타                            100,000
계                              500,000</t>
    <phoneticPr fontId="18" type="noConversion"/>
  </si>
  <si>
    <t>전년도와 동일</t>
    <phoneticPr fontId="18" type="noConversion"/>
  </si>
  <si>
    <t>전화요금         150,000*12월=  1,800,000
전기요금         700,000*12월= 8,400,000
상하수도요금     500,000*12월=  6,000,000
인터넷및키폰요금 150,000*12월=  1,800,000
TV사용료        150,000*12월=  1,800,000
우편요금         30,000*12월=    360,000
쓰레기봉투구입   100,000*12월= 1,200,000
납부필증         100,000*12월= 1,200,000
계                           22,560,000</t>
    <phoneticPr fontId="18" type="noConversion"/>
  </si>
  <si>
    <t>신원보증보험        15,000*2명= 30,000
상해보험(아동+종사자+여행자)    400,000
화재보험                       500,000
자동차보험(스타렉스3164)        700,000
자동차보험(스타렉스8394)        700,000
자동차보험(모닝9214)            600,000
자동차보험(스파크6742)          600,000
영업배상책임보험                600,000
자동차세                       800,000
환경개선부담금                1,000,000
아동연합회비960,000*4분기     3,840,000
계                           9,770,000</t>
    <phoneticPr fontId="18" type="noConversion"/>
  </si>
  <si>
    <t>기관홍보용 달력제작 2,215*200부=443,000
기관홍보용 선물제작 5,000*150개=600,000
기타 운영경비                  448,000
계                           1,491,000</t>
    <phoneticPr fontId="18" type="noConversion"/>
  </si>
  <si>
    <t>아동급식비  254,6270*30명*12개월=91,664,720
종사자급식비 12명*70,000원*12월=10,080,000 
종사자급식비 5명*60,000원*12월 = 3,600,000
실습생급식비  2명*30,000*2회=      120,000
춘계부식,김장비14,270원*30명*1회=  428,100
월동대책비     40,000*30명*1회=  1,200,000
특별위로비     40,000*30명 =  1,200,000
특별위로비     50,000-30명 =  1,500,000
후원금                          7,910,000
계                             117,702,820</t>
    <phoneticPr fontId="18" type="noConversion"/>
  </si>
  <si>
    <t>아동필요용품 10,000*30명*12월=    3,600,000
아동핸드폰요금 15,000원*30명*12월=5,400,000
아동용돈 30명기준                11,760,000
아동용돈(후원금)70,000*30명*12월=25,200,000
수련활동비          24,000*30명 =  900,000
기타                              720,000
계                            47,580,000</t>
    <phoneticPr fontId="18" type="noConversion"/>
  </si>
  <si>
    <t>피복비 11,185*30명*12월 =  4,026,600
후원금 29,223*30명*12월 = 10,520,280
계                        14,546,880</t>
    <phoneticPr fontId="18" type="noConversion"/>
  </si>
  <si>
    <t>취사연료비   2,240*30명*12월=  806,400
종사자급식비 1,000*17명*12월=  204,000
후원금,이자                    350,000
심야전기     876,920*12월=   10,523,040
계                          11,883,040</t>
    <phoneticPr fontId="18" type="noConversion"/>
  </si>
  <si>
    <t>중1,2,3학년 1,600*240일     11,520,000
아동교통비                   1,920,000
계                          13,440,000</t>
    <phoneticPr fontId="18" type="noConversion"/>
  </si>
  <si>
    <t>연합회행사지원비               1,446,000
어린이날행사비      30명*10,000원=300,000
성탄파티            30명*10,000원=300,000
수련활동비(후원금)  30명*50,000원=1,500,000
계                              3,546,000</t>
    <phoneticPr fontId="18" type="noConversion"/>
  </si>
  <si>
    <t>2022년 종사자 인건비 산출내역</t>
    <phoneticPr fontId="18" type="noConversion"/>
  </si>
  <si>
    <t xml:space="preserve">2022년 성애원(시설) 경상보조금 생계비(국시비) 산출내역 </t>
    <phoneticPr fontId="18" type="noConversion"/>
  </si>
  <si>
    <t>* 2021년도 기초생활보장 지침 중 시설생계급여 등 지원기준</t>
    <phoneticPr fontId="18" type="noConversion"/>
  </si>
  <si>
    <t>2022년 성애원(시설) 경상보조금 관리운영비 산출내역(국시비)</t>
    <phoneticPr fontId="18" type="noConversion"/>
  </si>
  <si>
    <t>2022년 성애원(시설) 관리운영비 산출내역(시비)</t>
    <phoneticPr fontId="18" type="noConversion"/>
  </si>
  <si>
    <t>2022년 종사자 사회보험 산출내역</t>
    <phoneticPr fontId="18" type="noConversion"/>
  </si>
  <si>
    <t>2022년 임직원 보수일람표</t>
    <phoneticPr fontId="18" type="noConversion"/>
  </si>
  <si>
    <t xml:space="preserve">2022년도 성애원(시설) 세입 세출 예산(안)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</si>
</sst>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3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바탕체"/>
      <family val="1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b/>
      <sz val="16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2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b/>
      <sz val="9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rgb="FF0000FF"/>
      <name val="바탕체"/>
      <family val="1"/>
      <charset val="129"/>
    </font>
    <font>
      <b/>
      <sz val="10"/>
      <name val="바탕체"/>
      <family val="1"/>
      <charset val="129"/>
    </font>
    <font>
      <sz val="10"/>
      <color rgb="FFFF0000"/>
      <name val="바탕체"/>
      <family val="1"/>
      <charset val="129"/>
    </font>
    <font>
      <sz val="10"/>
      <name val="바탕체"/>
      <family val="1"/>
      <charset val="129"/>
    </font>
    <font>
      <b/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7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>
      <alignment vertical="center"/>
    </xf>
    <xf numFmtId="41" fontId="17" fillId="0" borderId="0">
      <alignment vertical="center"/>
    </xf>
    <xf numFmtId="9" fontId="20" fillId="0" borderId="0" applyFont="0" applyFill="0" applyBorder="0" applyAlignment="0" applyProtection="0">
      <alignment vertical="center"/>
    </xf>
  </cellStyleXfs>
  <cellXfs count="306">
    <xf numFmtId="0" fontId="0" fillId="0" borderId="0" xfId="0" applyNumberFormat="1">
      <alignment vertical="center"/>
    </xf>
    <xf numFmtId="41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41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Fill="1" applyBorder="1" applyAlignment="1" applyProtection="1">
      <alignment horizontal="right" vertical="center" shrinkToFit="1"/>
      <protection locked="0"/>
    </xf>
    <xf numFmtId="176" fontId="4" fillId="3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1" fontId="2" fillId="0" borderId="1" xfId="1" applyNumberFormat="1" applyFont="1" applyBorder="1">
      <alignment vertical="center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41" fontId="0" fillId="0" borderId="1" xfId="0" applyNumberFormat="1" applyFont="1" applyFill="1" applyBorder="1" applyAlignment="1" applyProtection="1">
      <alignment vertical="center" shrinkToFit="1"/>
      <protection locked="0"/>
    </xf>
    <xf numFmtId="41" fontId="4" fillId="0" borderId="1" xfId="1" applyNumberFormat="1" applyFont="1" applyFill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6" fillId="2" borderId="0" xfId="4" applyNumberFormat="1" applyFont="1" applyFill="1" applyAlignment="1">
      <alignment horizontal="center"/>
    </xf>
    <xf numFmtId="41" fontId="6" fillId="2" borderId="0" xfId="5" applyNumberFormat="1" applyFont="1" applyFill="1" applyAlignment="1">
      <alignment horizontal="center"/>
    </xf>
    <xf numFmtId="0" fontId="7" fillId="2" borderId="0" xfId="4" applyNumberFormat="1" applyFont="1" applyFill="1" applyAlignment="1">
      <alignment horizontal="left" vertical="center"/>
    </xf>
    <xf numFmtId="0" fontId="5" fillId="0" borderId="0" xfId="3" applyNumberFormat="1" applyFont="1">
      <alignment vertical="center"/>
    </xf>
    <xf numFmtId="0" fontId="8" fillId="0" borderId="0" xfId="3" applyNumberFormat="1" applyFont="1" applyFill="1">
      <alignment vertical="center"/>
    </xf>
    <xf numFmtId="0" fontId="5" fillId="0" borderId="0" xfId="3" applyNumberFormat="1" applyFont="1" applyFill="1">
      <alignment vertical="center"/>
    </xf>
    <xf numFmtId="0" fontId="8" fillId="2" borderId="0" xfId="3" applyNumberFormat="1" applyFont="1" applyFill="1">
      <alignment vertical="center"/>
    </xf>
    <xf numFmtId="0" fontId="5" fillId="2" borderId="0" xfId="3" applyNumberFormat="1" applyFont="1" applyFill="1">
      <alignment vertical="center"/>
    </xf>
    <xf numFmtId="41" fontId="8" fillId="2" borderId="0" xfId="3" applyNumberFormat="1" applyFont="1" applyFill="1">
      <alignment vertical="center"/>
    </xf>
    <xf numFmtId="0" fontId="8" fillId="2" borderId="1" xfId="2" applyNumberFormat="1" applyFont="1" applyFill="1" applyBorder="1" applyAlignment="1" applyProtection="1"/>
    <xf numFmtId="0" fontId="8" fillId="4" borderId="1" xfId="2" applyNumberFormat="1" applyFont="1" applyFill="1" applyBorder="1" applyAlignment="1" applyProtection="1">
      <alignment horizontal="right"/>
    </xf>
    <xf numFmtId="0" fontId="8" fillId="2" borderId="1" xfId="2" applyNumberFormat="1" applyFont="1" applyFill="1" applyBorder="1" applyAlignment="1" applyProtection="1">
      <alignment vertical="center"/>
    </xf>
    <xf numFmtId="177" fontId="8" fillId="5" borderId="1" xfId="2" applyNumberFormat="1" applyFont="1" applyFill="1" applyBorder="1" applyAlignment="1" applyProtection="1">
      <alignment horizontal="right" vertical="center"/>
    </xf>
    <xf numFmtId="0" fontId="9" fillId="5" borderId="1" xfId="2" applyNumberFormat="1" applyFont="1" applyFill="1" applyBorder="1" applyAlignment="1" applyProtection="1">
      <alignment horizontal="center" vertical="center"/>
    </xf>
    <xf numFmtId="41" fontId="9" fillId="5" borderId="1" xfId="5" applyNumberFormat="1" applyFont="1" applyFill="1" applyBorder="1" applyAlignment="1" applyProtection="1">
      <alignment horizontal="center" vertical="center"/>
    </xf>
    <xf numFmtId="41" fontId="7" fillId="5" borderId="1" xfId="2" applyNumberFormat="1" applyFont="1" applyFill="1" applyBorder="1" applyAlignment="1" applyProtection="1">
      <alignment horizontal="center" vertical="center"/>
    </xf>
    <xf numFmtId="0" fontId="9" fillId="2" borderId="1" xfId="2" applyNumberFormat="1" applyFont="1" applyFill="1" applyBorder="1" applyAlignment="1" applyProtection="1">
      <alignment horizontal="center" vertical="center"/>
    </xf>
    <xf numFmtId="41" fontId="9" fillId="2" borderId="1" xfId="5" applyNumberFormat="1" applyFont="1" applyFill="1" applyBorder="1" applyAlignment="1" applyProtection="1">
      <alignment horizontal="center" vertical="center"/>
    </xf>
    <xf numFmtId="0" fontId="8" fillId="2" borderId="1" xfId="2" applyNumberFormat="1" applyFont="1" applyFill="1" applyBorder="1" applyAlignment="1" applyProtection="1">
      <alignment horizontal="center" vertical="center"/>
    </xf>
    <xf numFmtId="0" fontId="7" fillId="0" borderId="1" xfId="2" applyNumberFormat="1" applyFont="1" applyFill="1" applyBorder="1" applyAlignment="1" applyProtection="1">
      <alignment horizontal="righ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0" fontId="11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 wrapText="1"/>
    </xf>
    <xf numFmtId="41" fontId="7" fillId="6" borderId="1" xfId="5" applyNumberFormat="1" applyFont="1" applyFill="1" applyBorder="1" applyAlignment="1" applyProtection="1">
      <alignment horizontal="center" vertical="center"/>
    </xf>
    <xf numFmtId="0" fontId="7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center" vertical="center"/>
    </xf>
    <xf numFmtId="0" fontId="8" fillId="2" borderId="2" xfId="2" applyNumberFormat="1" applyFont="1" applyFill="1" applyBorder="1" applyAlignment="1">
      <alignment horizontal="center" vertical="center"/>
    </xf>
    <xf numFmtId="41" fontId="8" fillId="2" borderId="2" xfId="5" applyNumberFormat="1" applyFont="1" applyFill="1" applyBorder="1" applyAlignment="1">
      <alignment horizontal="center" vertical="center"/>
    </xf>
    <xf numFmtId="0" fontId="5" fillId="2" borderId="2" xfId="2" applyNumberFormat="1" applyFont="1" applyFill="1" applyBorder="1" applyAlignment="1">
      <alignment horizontal="left" vertical="center"/>
    </xf>
    <xf numFmtId="41" fontId="8" fillId="2" borderId="0" xfId="5" applyNumberFormat="1" applyFont="1" applyFill="1">
      <alignment vertical="center"/>
    </xf>
    <xf numFmtId="0" fontId="7" fillId="0" borderId="1" xfId="3" applyNumberFormat="1" applyFont="1" applyFill="1" applyBorder="1">
      <alignment vertical="center"/>
    </xf>
    <xf numFmtId="0" fontId="7" fillId="0" borderId="1" xfId="3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center" vertical="center"/>
    </xf>
    <xf numFmtId="0" fontId="9" fillId="2" borderId="3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vertical="center"/>
    </xf>
    <xf numFmtId="41" fontId="7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0" fontId="9" fillId="2" borderId="1" xfId="4" applyNumberFormat="1" applyFont="1" applyFill="1" applyBorder="1" applyAlignment="1">
      <alignment horizontal="left" vertical="center"/>
    </xf>
    <xf numFmtId="0" fontId="9" fillId="2" borderId="1" xfId="4" applyNumberFormat="1" applyFont="1" applyFill="1" applyBorder="1" applyAlignment="1">
      <alignment horizontal="left" vertical="center" wrapText="1"/>
    </xf>
    <xf numFmtId="0" fontId="7" fillId="6" borderId="1" xfId="4" applyNumberFormat="1" applyFont="1" applyFill="1" applyBorder="1" applyAlignment="1">
      <alignment horizontal="center" vertical="center"/>
    </xf>
    <xf numFmtId="0" fontId="7" fillId="6" borderId="3" xfId="4" applyNumberFormat="1" applyFont="1" applyFill="1" applyBorder="1" applyAlignment="1">
      <alignment horizontal="center" vertical="center"/>
    </xf>
    <xf numFmtId="41" fontId="7" fillId="6" borderId="1" xfId="5" applyNumberFormat="1" applyFont="1" applyFill="1" applyBorder="1" applyAlignment="1">
      <alignment horizontal="center" vertical="center"/>
    </xf>
    <xf numFmtId="0" fontId="5" fillId="0" borderId="0" xfId="3" applyNumberFormat="1" applyFont="1" applyAlignment="1">
      <alignment horizontal="right" vertical="center"/>
    </xf>
    <xf numFmtId="0" fontId="9" fillId="0" borderId="1" xfId="4" applyNumberFormat="1" applyFont="1" applyFill="1" applyBorder="1" applyAlignment="1">
      <alignment horizontal="center" vertical="center"/>
    </xf>
    <xf numFmtId="0" fontId="9" fillId="0" borderId="3" xfId="4" applyNumberFormat="1" applyFont="1" applyFill="1" applyBorder="1" applyAlignment="1">
      <alignment horizontal="center" vertical="center"/>
    </xf>
    <xf numFmtId="41" fontId="5" fillId="0" borderId="0" xfId="5" applyNumberFormat="1" applyFont="1">
      <alignment vertical="center"/>
    </xf>
    <xf numFmtId="0" fontId="5" fillId="0" borderId="0" xfId="3" applyNumberFormat="1" applyFont="1" applyAlignment="1">
      <alignment horizontal="left" vertical="center"/>
    </xf>
    <xf numFmtId="0" fontId="5" fillId="0" borderId="0" xfId="3" applyNumberFormat="1" applyFont="1" applyAlignment="1">
      <alignment horizontal="center" vertical="center"/>
    </xf>
    <xf numFmtId="0" fontId="10" fillId="5" borderId="1" xfId="2" applyNumberFormat="1" applyFont="1" applyFill="1" applyBorder="1" applyAlignment="1" applyProtection="1">
      <alignment horizontal="left" vertical="center" wrapText="1"/>
    </xf>
    <xf numFmtId="176" fontId="4" fillId="2" borderId="1" xfId="1" applyNumberFormat="1" applyFont="1" applyFill="1" applyBorder="1" applyAlignment="1" applyProtection="1">
      <alignment horizontal="right" vertical="center" shrinkToFit="1"/>
      <protection locked="0"/>
    </xf>
    <xf numFmtId="41" fontId="2" fillId="2" borderId="1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right" vertical="center"/>
    </xf>
    <xf numFmtId="41" fontId="10" fillId="0" borderId="0" xfId="5" applyNumberFormat="1" applyFont="1" applyFill="1" applyAlignment="1">
      <alignment horizontal="right"/>
    </xf>
    <xf numFmtId="0" fontId="8" fillId="0" borderId="0" xfId="0" applyNumberFormat="1" applyFont="1" applyFill="1">
      <alignment vertical="center"/>
    </xf>
    <xf numFmtId="0" fontId="8" fillId="0" borderId="0" xfId="0" applyNumberFormat="1" applyFont="1">
      <alignment vertical="center"/>
    </xf>
    <xf numFmtId="41" fontId="8" fillId="0" borderId="0" xfId="0" applyNumberFormat="1" applyFont="1">
      <alignment vertical="center"/>
    </xf>
    <xf numFmtId="41" fontId="8" fillId="0" borderId="1" xfId="0" applyNumberFormat="1" applyFont="1" applyFill="1" applyBorder="1" applyAlignment="1" applyProtection="1">
      <alignment vertical="center"/>
    </xf>
    <xf numFmtId="41" fontId="3" fillId="0" borderId="9" xfId="5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41" fontId="3" fillId="0" borderId="9" xfId="0" applyNumberFormat="1" applyFont="1" applyFill="1" applyBorder="1" applyAlignment="1" applyProtection="1">
      <alignment horizontal="center" vertical="center"/>
    </xf>
    <xf numFmtId="177" fontId="3" fillId="0" borderId="5" xfId="5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Alignment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2" xfId="5" applyNumberFormat="1" applyFont="1" applyFill="1" applyBorder="1" applyAlignment="1" applyProtection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9" fillId="0" borderId="0" xfId="4" applyNumberFormat="1" applyFont="1" applyFill="1" applyBorder="1" applyAlignment="1">
      <alignment horizontal="center" vertical="center"/>
    </xf>
    <xf numFmtId="41" fontId="7" fillId="2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>
      <alignment vertical="center"/>
    </xf>
    <xf numFmtId="0" fontId="4" fillId="0" borderId="0" xfId="0" applyNumberFormat="1" applyFont="1" applyBorder="1" applyAlignment="1">
      <alignment horizontal="left" vertical="center"/>
    </xf>
    <xf numFmtId="177" fontId="10" fillId="2" borderId="1" xfId="2" applyNumberFormat="1" applyFont="1" applyFill="1" applyBorder="1" applyAlignment="1" applyProtection="1">
      <alignment horizontal="left" vertical="center"/>
    </xf>
    <xf numFmtId="0" fontId="9" fillId="2" borderId="3" xfId="4" applyNumberFormat="1" applyFont="1" applyFill="1" applyBorder="1" applyAlignment="1">
      <alignment horizontal="left" vertical="center" wrapText="1"/>
    </xf>
    <xf numFmtId="41" fontId="13" fillId="5" borderId="1" xfId="4" applyNumberFormat="1" applyFont="1" applyFill="1" applyBorder="1" applyAlignment="1">
      <alignment horizontal="center" vertical="center"/>
    </xf>
    <xf numFmtId="41" fontId="13" fillId="4" borderId="1" xfId="3" applyNumberFormat="1" applyFont="1" applyFill="1" applyBorder="1">
      <alignment vertical="center"/>
    </xf>
    <xf numFmtId="41" fontId="13" fillId="0" borderId="1" xfId="5" applyNumberFormat="1" applyFont="1" applyFill="1" applyBorder="1" applyAlignment="1" applyProtection="1">
      <alignment horizontal="center" vertical="center"/>
    </xf>
    <xf numFmtId="41" fontId="13" fillId="5" borderId="1" xfId="5" applyNumberFormat="1" applyFont="1" applyFill="1" applyBorder="1" applyAlignment="1" applyProtection="1">
      <alignment horizontal="center" vertical="center"/>
    </xf>
    <xf numFmtId="41" fontId="13" fillId="4" borderId="1" xfId="2" applyNumberFormat="1" applyFont="1" applyFill="1" applyBorder="1" applyAlignment="1" applyProtection="1">
      <alignment horizontal="center" vertical="center"/>
    </xf>
    <xf numFmtId="0" fontId="19" fillId="0" borderId="0" xfId="3" applyNumberFormat="1" applyFont="1">
      <alignment vertical="center"/>
    </xf>
    <xf numFmtId="0" fontId="19" fillId="0" borderId="0" xfId="3" applyNumberFormat="1" applyFont="1" applyAlignment="1">
      <alignment horizontal="center" vertical="center"/>
    </xf>
    <xf numFmtId="0" fontId="19" fillId="0" borderId="0" xfId="3" applyNumberFormat="1" applyFont="1" applyAlignment="1">
      <alignment horizontal="left" vertical="center"/>
    </xf>
    <xf numFmtId="41" fontId="5" fillId="0" borderId="0" xfId="3" applyNumberFormat="1" applyFont="1">
      <alignment vertical="center"/>
    </xf>
    <xf numFmtId="0" fontId="5" fillId="0" borderId="0" xfId="3" applyNumberFormat="1" applyFont="1" applyAlignment="1">
      <alignment vertical="center" wrapText="1"/>
    </xf>
    <xf numFmtId="0" fontId="5" fillId="0" borderId="0" xfId="3" applyNumberFormat="1" applyFont="1" applyAlignment="1">
      <alignment vertical="center"/>
    </xf>
    <xf numFmtId="41" fontId="8" fillId="0" borderId="1" xfId="0" applyNumberFormat="1" applyFont="1" applyFill="1" applyBorder="1">
      <alignment vertical="center"/>
    </xf>
    <xf numFmtId="41" fontId="17" fillId="0" borderId="0" xfId="1">
      <alignment vertical="center"/>
    </xf>
    <xf numFmtId="0" fontId="3" fillId="0" borderId="24" xfId="3" applyNumberFormat="1" applyFont="1" applyFill="1" applyBorder="1" applyAlignment="1" applyProtection="1">
      <alignment horizontal="center" vertical="center"/>
    </xf>
    <xf numFmtId="0" fontId="3" fillId="0" borderId="9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>
      <alignment horizontal="center" vertical="center"/>
    </xf>
    <xf numFmtId="0" fontId="3" fillId="0" borderId="12" xfId="3" applyNumberFormat="1" applyFont="1" applyFill="1" applyBorder="1" applyAlignment="1" applyProtection="1">
      <alignment horizontal="center" vertical="center"/>
    </xf>
    <xf numFmtId="0" fontId="3" fillId="0" borderId="8" xfId="3" applyNumberFormat="1" applyFont="1" applyFill="1" applyBorder="1" applyAlignment="1" applyProtection="1">
      <alignment horizontal="center" vertical="center"/>
    </xf>
    <xf numFmtId="0" fontId="4" fillId="2" borderId="28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4" fillId="0" borderId="7" xfId="3" applyNumberFormat="1" applyFont="1" applyFill="1" applyBorder="1" applyAlignment="1" applyProtection="1">
      <alignment horizontal="center" vertical="center"/>
    </xf>
    <xf numFmtId="0" fontId="4" fillId="2" borderId="33" xfId="3" applyNumberFormat="1" applyFont="1" applyFill="1" applyBorder="1" applyAlignment="1">
      <alignment horizontal="center" vertical="center"/>
    </xf>
    <xf numFmtId="0" fontId="4" fillId="2" borderId="34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 applyProtection="1">
      <alignment horizontal="center" vertical="center"/>
    </xf>
    <xf numFmtId="0" fontId="4" fillId="2" borderId="26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vertical="center"/>
    </xf>
    <xf numFmtId="0" fontId="4" fillId="2" borderId="26" xfId="3" applyNumberFormat="1" applyFont="1" applyFill="1" applyBorder="1" applyAlignment="1" applyProtection="1">
      <alignment horizontal="center" vertical="center"/>
    </xf>
    <xf numFmtId="0" fontId="4" fillId="2" borderId="5" xfId="3" applyNumberFormat="1" applyFont="1" applyFill="1" applyBorder="1" applyAlignment="1">
      <alignment vertical="center"/>
    </xf>
    <xf numFmtId="0" fontId="4" fillId="2" borderId="1" xfId="3" applyNumberFormat="1" applyFont="1" applyFill="1" applyBorder="1" applyAlignment="1" applyProtection="1">
      <alignment horizontal="center" vertical="center" wrapText="1"/>
    </xf>
    <xf numFmtId="0" fontId="23" fillId="0" borderId="29" xfId="3" applyNumberFormat="1" applyFont="1" applyFill="1" applyBorder="1" applyAlignment="1" applyProtection="1">
      <alignment horizontal="left" vertical="center" wrapText="1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 wrapText="1"/>
    </xf>
    <xf numFmtId="0" fontId="4" fillId="2" borderId="1" xfId="3" applyNumberFormat="1" applyFont="1" applyFill="1" applyBorder="1" applyAlignment="1">
      <alignment horizontal="center" vertical="center" wrapText="1"/>
    </xf>
    <xf numFmtId="0" fontId="4" fillId="2" borderId="35" xfId="3" applyNumberFormat="1" applyFont="1" applyFill="1" applyBorder="1" applyAlignment="1">
      <alignment horizontal="center" vertical="center"/>
    </xf>
    <xf numFmtId="0" fontId="4" fillId="2" borderId="36" xfId="3" applyNumberFormat="1" applyFont="1" applyFill="1" applyBorder="1" applyAlignment="1">
      <alignment horizontal="center" vertical="center"/>
    </xf>
    <xf numFmtId="0" fontId="4" fillId="2" borderId="18" xfId="3" applyNumberFormat="1" applyFont="1" applyFill="1" applyBorder="1" applyAlignment="1">
      <alignment horizontal="center" vertical="center"/>
    </xf>
    <xf numFmtId="0" fontId="25" fillId="2" borderId="0" xfId="3" applyNumberFormat="1" applyFont="1" applyFill="1" applyAlignment="1">
      <alignment horizontal="center" vertical="center"/>
    </xf>
    <xf numFmtId="0" fontId="4" fillId="0" borderId="0" xfId="3" applyNumberFormat="1" applyFont="1" applyAlignment="1">
      <alignment horizontal="center" vertical="center"/>
    </xf>
    <xf numFmtId="41" fontId="25" fillId="2" borderId="0" xfId="5" applyNumberFormat="1" applyFont="1" applyFill="1" applyAlignment="1">
      <alignment horizontal="center" vertical="center"/>
    </xf>
    <xf numFmtId="0" fontId="26" fillId="0" borderId="0" xfId="3" applyNumberFormat="1" applyFont="1" applyBorder="1" applyAlignment="1">
      <alignment horizontal="left" vertical="center"/>
    </xf>
    <xf numFmtId="0" fontId="3" fillId="0" borderId="0" xfId="3" applyNumberFormat="1" applyFont="1" applyAlignment="1">
      <alignment horizontal="center" vertical="center"/>
    </xf>
    <xf numFmtId="41" fontId="3" fillId="0" borderId="0" xfId="5" applyNumberFormat="1" applyFont="1" applyBorder="1" applyAlignment="1">
      <alignment horizontal="center" vertical="center"/>
    </xf>
    <xf numFmtId="41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Border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41" fontId="25" fillId="2" borderId="0" xfId="3" applyNumberFormat="1" applyFont="1" applyFill="1" applyAlignment="1">
      <alignment horizontal="center" vertical="center"/>
    </xf>
    <xf numFmtId="0" fontId="25" fillId="2" borderId="0" xfId="3" applyNumberFormat="1" applyFont="1" applyFill="1" applyAlignment="1">
      <alignment horizontal="left" vertical="center"/>
    </xf>
    <xf numFmtId="0" fontId="4" fillId="0" borderId="0" xfId="3" applyNumberFormat="1" applyFont="1" applyBorder="1" applyAlignment="1">
      <alignment horizontal="center" vertical="center"/>
    </xf>
    <xf numFmtId="41" fontId="4" fillId="0" borderId="0" xfId="5" applyNumberFormat="1" applyFont="1" applyBorder="1" applyAlignment="1">
      <alignment horizontal="center" vertical="center"/>
    </xf>
    <xf numFmtId="41" fontId="4" fillId="0" borderId="0" xfId="3" applyNumberFormat="1" applyFont="1" applyBorder="1" applyAlignment="1">
      <alignment horizontal="center" vertical="center"/>
    </xf>
    <xf numFmtId="0" fontId="4" fillId="0" borderId="0" xfId="3" applyNumberFormat="1" applyFont="1" applyAlignment="1">
      <alignment horizontal="right" vertical="center"/>
    </xf>
    <xf numFmtId="0" fontId="4" fillId="0" borderId="24" xfId="3" applyNumberFormat="1" applyFont="1" applyFill="1" applyBorder="1" applyAlignment="1" applyProtection="1">
      <alignment horizontal="center" vertical="center"/>
    </xf>
    <xf numFmtId="0" fontId="4" fillId="0" borderId="9" xfId="3" applyNumberFormat="1" applyFont="1" applyFill="1" applyBorder="1" applyAlignment="1" applyProtection="1">
      <alignment horizontal="center" vertical="center"/>
    </xf>
    <xf numFmtId="41" fontId="4" fillId="0" borderId="9" xfId="5" applyNumberFormat="1" applyFont="1" applyFill="1" applyBorder="1" applyAlignment="1" applyProtection="1">
      <alignment horizontal="center" vertical="center"/>
    </xf>
    <xf numFmtId="41" fontId="21" fillId="2" borderId="5" xfId="5" applyNumberFormat="1" applyFont="1" applyFill="1" applyBorder="1" applyAlignment="1">
      <alignment horizontal="center" vertical="center"/>
    </xf>
    <xf numFmtId="41" fontId="21" fillId="2" borderId="5" xfId="5" applyNumberFormat="1" applyFont="1" applyFill="1" applyBorder="1" applyAlignment="1" applyProtection="1">
      <alignment horizontal="center" vertical="center"/>
    </xf>
    <xf numFmtId="41" fontId="21" fillId="0" borderId="5" xfId="3" applyNumberFormat="1" applyFont="1" applyFill="1" applyBorder="1" applyAlignment="1" applyProtection="1">
      <alignment vertical="center"/>
    </xf>
    <xf numFmtId="0" fontId="22" fillId="0" borderId="27" xfId="3" applyNumberFormat="1" applyFont="1" applyFill="1" applyBorder="1" applyAlignment="1">
      <alignment horizontal="left" vertical="center" wrapText="1"/>
    </xf>
    <xf numFmtId="41" fontId="21" fillId="2" borderId="1" xfId="5" applyNumberFormat="1" applyFont="1" applyFill="1" applyBorder="1" applyAlignment="1">
      <alignment horizontal="center" vertical="center"/>
    </xf>
    <xf numFmtId="41" fontId="21" fillId="0" borderId="1" xfId="3" applyNumberFormat="1" applyFont="1" applyFill="1" applyBorder="1" applyAlignment="1" applyProtection="1">
      <alignment vertical="center"/>
    </xf>
    <xf numFmtId="0" fontId="27" fillId="0" borderId="29" xfId="3" applyNumberFormat="1" applyFont="1" applyBorder="1" applyAlignment="1">
      <alignment horizontal="left" vertical="center"/>
    </xf>
    <xf numFmtId="0" fontId="21" fillId="2" borderId="28" xfId="3" applyNumberFormat="1" applyFont="1" applyFill="1" applyBorder="1" applyAlignment="1">
      <alignment horizontal="center" vertical="center"/>
    </xf>
    <xf numFmtId="0" fontId="21" fillId="2" borderId="1" xfId="3" applyNumberFormat="1" applyFont="1" applyFill="1" applyBorder="1" applyAlignment="1">
      <alignment horizontal="center" vertical="center"/>
    </xf>
    <xf numFmtId="3" fontId="28" fillId="0" borderId="1" xfId="3" applyNumberFormat="1" applyFont="1" applyBorder="1">
      <alignment vertical="center"/>
    </xf>
    <xf numFmtId="176" fontId="4" fillId="0" borderId="1" xfId="3" applyNumberFormat="1" applyFont="1" applyBorder="1">
      <alignment vertical="center"/>
    </xf>
    <xf numFmtId="0" fontId="21" fillId="2" borderId="1" xfId="3" applyNumberFormat="1" applyFont="1" applyFill="1" applyBorder="1" applyAlignment="1">
      <alignment horizontal="center" vertical="center" wrapText="1"/>
    </xf>
    <xf numFmtId="3" fontId="4" fillId="0" borderId="1" xfId="3" applyNumberFormat="1" applyFont="1" applyBorder="1">
      <alignment vertical="center"/>
    </xf>
    <xf numFmtId="0" fontId="21" fillId="2" borderId="1" xfId="3" applyNumberFormat="1" applyFont="1" applyFill="1" applyBorder="1" applyAlignment="1">
      <alignment vertical="center"/>
    </xf>
    <xf numFmtId="0" fontId="21" fillId="2" borderId="1" xfId="3" applyNumberFormat="1" applyFont="1" applyFill="1" applyBorder="1" applyAlignment="1" applyProtection="1">
      <alignment horizontal="center" vertical="center"/>
    </xf>
    <xf numFmtId="41" fontId="21" fillId="2" borderId="1" xfId="3" applyNumberFormat="1" applyFont="1" applyFill="1" applyBorder="1" applyAlignment="1" applyProtection="1">
      <alignment vertical="center"/>
    </xf>
    <xf numFmtId="0" fontId="21" fillId="0" borderId="1" xfId="3" applyNumberFormat="1" applyFont="1" applyFill="1" applyBorder="1" applyAlignment="1" applyProtection="1">
      <alignment horizontal="center" vertical="center"/>
    </xf>
    <xf numFmtId="0" fontId="21" fillId="0" borderId="1" xfId="3" applyNumberFormat="1" applyFont="1" applyBorder="1" applyAlignment="1">
      <alignment horizontal="center" vertical="center"/>
    </xf>
    <xf numFmtId="41" fontId="21" fillId="2" borderId="1" xfId="5" applyNumberFormat="1" applyFont="1" applyFill="1" applyBorder="1" applyAlignment="1">
      <alignment horizontal="left" vertical="center"/>
    </xf>
    <xf numFmtId="176" fontId="4" fillId="0" borderId="1" xfId="3" applyNumberFormat="1" applyFont="1" applyFill="1" applyBorder="1">
      <alignment vertical="center"/>
    </xf>
    <xf numFmtId="0" fontId="21" fillId="2" borderId="28" xfId="3" applyNumberFormat="1" applyFont="1" applyFill="1" applyBorder="1" applyAlignment="1">
      <alignment horizontal="center" vertical="center" wrapText="1"/>
    </xf>
    <xf numFmtId="0" fontId="21" fillId="0" borderId="1" xfId="3" applyNumberFormat="1" applyFont="1" applyBorder="1">
      <alignment vertical="center"/>
    </xf>
    <xf numFmtId="41" fontId="28" fillId="0" borderId="1" xfId="3" applyNumberFormat="1" applyFont="1" applyFill="1" applyBorder="1" applyAlignment="1" applyProtection="1">
      <alignment vertical="center"/>
    </xf>
    <xf numFmtId="0" fontId="21" fillId="0" borderId="1" xfId="3" applyNumberFormat="1" applyFont="1" applyBorder="1" applyAlignment="1">
      <alignment vertical="center"/>
    </xf>
    <xf numFmtId="0" fontId="21" fillId="2" borderId="18" xfId="3" applyNumberFormat="1" applyFont="1" applyFill="1" applyBorder="1" applyAlignment="1">
      <alignment horizontal="center" vertical="center"/>
    </xf>
    <xf numFmtId="176" fontId="21" fillId="0" borderId="18" xfId="3" applyNumberFormat="1" applyFont="1" applyFill="1" applyBorder="1">
      <alignment vertical="center"/>
    </xf>
    <xf numFmtId="41" fontId="21" fillId="0" borderId="18" xfId="3" applyNumberFormat="1" applyFont="1" applyFill="1" applyBorder="1" applyAlignment="1" applyProtection="1">
      <alignment vertical="center"/>
    </xf>
    <xf numFmtId="0" fontId="0" fillId="0" borderId="1" xfId="0" applyNumberFormat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1" fontId="5" fillId="0" borderId="0" xfId="7" applyNumberFormat="1" applyFont="1">
      <alignment vertical="center"/>
    </xf>
    <xf numFmtId="41" fontId="30" fillId="2" borderId="1" xfId="5" applyNumberFormat="1" applyFont="1" applyFill="1" applyBorder="1" applyAlignment="1">
      <alignment horizontal="center" vertical="center"/>
    </xf>
    <xf numFmtId="9" fontId="5" fillId="0" borderId="0" xfId="7" applyFont="1" applyFill="1">
      <alignment vertical="center"/>
    </xf>
    <xf numFmtId="41" fontId="21" fillId="2" borderId="36" xfId="5" applyNumberFormat="1" applyFont="1" applyFill="1" applyBorder="1" applyAlignment="1" applyProtection="1">
      <alignment horizontal="center" vertical="center"/>
    </xf>
    <xf numFmtId="41" fontId="13" fillId="2" borderId="1" xfId="5" applyNumberFormat="1" applyFont="1" applyFill="1" applyBorder="1" applyAlignment="1">
      <alignment horizontal="center" vertical="center"/>
    </xf>
    <xf numFmtId="0" fontId="13" fillId="2" borderId="1" xfId="4" applyNumberFormat="1" applyFont="1" applyFill="1" applyBorder="1" applyAlignment="1">
      <alignment horizontal="center" vertical="center"/>
    </xf>
    <xf numFmtId="0" fontId="13" fillId="2" borderId="1" xfId="4" applyNumberFormat="1" applyFont="1" applyFill="1" applyBorder="1" applyAlignment="1">
      <alignment horizontal="left" vertical="center"/>
    </xf>
    <xf numFmtId="41" fontId="32" fillId="2" borderId="1" xfId="5" applyNumberFormat="1" applyFont="1" applyFill="1" applyBorder="1" applyAlignment="1">
      <alignment horizontal="center" vertical="center"/>
    </xf>
    <xf numFmtId="0" fontId="32" fillId="2" borderId="1" xfId="4" applyNumberFormat="1" applyFont="1" applyFill="1" applyBorder="1" applyAlignment="1">
      <alignment horizontal="center" vertical="center"/>
    </xf>
    <xf numFmtId="0" fontId="8" fillId="2" borderId="0" xfId="3" applyNumberFormat="1" applyFont="1" applyFill="1" applyAlignment="1">
      <alignment horizontal="center" vertical="center"/>
    </xf>
    <xf numFmtId="41" fontId="13" fillId="2" borderId="1" xfId="2" applyNumberFormat="1" applyFont="1" applyFill="1" applyBorder="1" applyAlignment="1" applyProtection="1">
      <alignment vertical="center" wrapText="1"/>
    </xf>
    <xf numFmtId="177" fontId="10" fillId="2" borderId="1" xfId="2" applyNumberFormat="1" applyFont="1" applyFill="1" applyBorder="1" applyAlignment="1" applyProtection="1">
      <alignment horizontal="left" vertical="center" wrapText="1"/>
    </xf>
    <xf numFmtId="41" fontId="30" fillId="0" borderId="1" xfId="2" applyNumberFormat="1" applyFont="1" applyFill="1" applyBorder="1" applyAlignment="1" applyProtection="1">
      <alignment horizontal="right" vertical="center" wrapText="1"/>
    </xf>
    <xf numFmtId="41" fontId="32" fillId="0" borderId="1" xfId="5" applyNumberFormat="1" applyFont="1" applyFill="1" applyBorder="1" applyAlignment="1" applyProtection="1">
      <alignment horizontal="center" vertical="center"/>
    </xf>
    <xf numFmtId="0" fontId="32" fillId="0" borderId="1" xfId="2" applyNumberFormat="1" applyFont="1" applyFill="1" applyBorder="1" applyAlignment="1" applyProtection="1">
      <alignment horizontal="center" vertical="center"/>
    </xf>
    <xf numFmtId="41" fontId="30" fillId="0" borderId="1" xfId="5" applyNumberFormat="1" applyFont="1" applyFill="1" applyBorder="1" applyAlignment="1" applyProtection="1">
      <alignment horizontal="center" vertical="center"/>
    </xf>
    <xf numFmtId="41" fontId="30" fillId="5" borderId="1" xfId="2" applyNumberFormat="1" applyFont="1" applyFill="1" applyBorder="1" applyAlignment="1" applyProtection="1">
      <alignment horizontal="right" vertical="center" wrapText="1"/>
    </xf>
    <xf numFmtId="41" fontId="32" fillId="5" borderId="1" xfId="5" applyNumberFormat="1" applyFont="1" applyFill="1" applyBorder="1" applyAlignment="1" applyProtection="1">
      <alignment horizontal="center" vertical="center"/>
    </xf>
    <xf numFmtId="0" fontId="32" fillId="5" borderId="1" xfId="2" applyNumberFormat="1" applyFont="1" applyFill="1" applyBorder="1" applyAlignment="1" applyProtection="1">
      <alignment horizontal="center" vertical="center"/>
    </xf>
    <xf numFmtId="41" fontId="30" fillId="5" borderId="1" xfId="5" applyNumberFormat="1" applyFont="1" applyFill="1" applyBorder="1" applyAlignment="1" applyProtection="1">
      <alignment horizontal="center" vertical="center"/>
    </xf>
    <xf numFmtId="41" fontId="30" fillId="2" borderId="1" xfId="2" applyNumberFormat="1" applyFont="1" applyFill="1" applyBorder="1" applyAlignment="1" applyProtection="1">
      <alignment horizontal="right" vertical="center" wrapText="1"/>
    </xf>
    <xf numFmtId="41" fontId="32" fillId="2" borderId="1" xfId="5" applyNumberFormat="1" applyFont="1" applyFill="1" applyBorder="1" applyAlignment="1" applyProtection="1">
      <alignment horizontal="center" vertical="center"/>
    </xf>
    <xf numFmtId="0" fontId="32" fillId="2" borderId="1" xfId="2" applyNumberFormat="1" applyFont="1" applyFill="1" applyBorder="1" applyAlignment="1" applyProtection="1">
      <alignment horizontal="center" vertical="center"/>
    </xf>
    <xf numFmtId="9" fontId="5" fillId="0" borderId="0" xfId="7" applyFont="1">
      <alignment vertical="center"/>
    </xf>
    <xf numFmtId="0" fontId="4" fillId="0" borderId="12" xfId="3" applyNumberFormat="1" applyFont="1" applyFill="1" applyBorder="1" applyAlignment="1">
      <alignment horizontal="center" vertical="center"/>
    </xf>
    <xf numFmtId="41" fontId="28" fillId="0" borderId="39" xfId="5" applyNumberFormat="1" applyFont="1" applyBorder="1" applyAlignment="1">
      <alignment vertical="center"/>
    </xf>
    <xf numFmtId="41" fontId="28" fillId="0" borderId="4" xfId="5" applyNumberFormat="1" applyFont="1" applyBorder="1" applyAlignment="1">
      <alignment horizontal="center" vertical="center"/>
    </xf>
    <xf numFmtId="0" fontId="23" fillId="0" borderId="27" xfId="3" applyNumberFormat="1" applyFont="1" applyFill="1" applyBorder="1" applyAlignment="1">
      <alignment horizontal="left" vertical="center" wrapText="1"/>
    </xf>
    <xf numFmtId="41" fontId="28" fillId="0" borderId="1" xfId="5" applyNumberFormat="1" applyFont="1" applyBorder="1" applyAlignment="1">
      <alignment vertical="center"/>
    </xf>
    <xf numFmtId="41" fontId="28" fillId="0" borderId="1" xfId="5" applyNumberFormat="1" applyFont="1" applyBorder="1">
      <alignment vertical="center"/>
    </xf>
    <xf numFmtId="0" fontId="23" fillId="0" borderId="29" xfId="3" applyNumberFormat="1" applyFont="1" applyBorder="1" applyAlignment="1">
      <alignment horizontal="left" vertical="center" wrapText="1"/>
    </xf>
    <xf numFmtId="0" fontId="23" fillId="0" borderId="29" xfId="3" applyNumberFormat="1" applyFont="1" applyBorder="1" applyAlignment="1">
      <alignment horizontal="left" vertical="center"/>
    </xf>
    <xf numFmtId="0" fontId="34" fillId="0" borderId="29" xfId="3" applyNumberFormat="1" applyFont="1" applyFill="1" applyBorder="1" applyAlignment="1" applyProtection="1">
      <alignment horizontal="left" vertical="center"/>
    </xf>
    <xf numFmtId="0" fontId="23" fillId="0" borderId="27" xfId="3" applyNumberFormat="1" applyFont="1" applyBorder="1" applyAlignment="1">
      <alignment horizontal="left" vertical="center" wrapText="1"/>
    </xf>
    <xf numFmtId="0" fontId="23" fillId="0" borderId="37" xfId="3" applyNumberFormat="1" applyFont="1" applyBorder="1" applyAlignment="1">
      <alignment horizontal="left" vertical="center" wrapText="1"/>
    </xf>
    <xf numFmtId="41" fontId="28" fillId="0" borderId="18" xfId="5" applyNumberFormat="1" applyFont="1" applyBorder="1">
      <alignment vertical="center"/>
    </xf>
    <xf numFmtId="41" fontId="28" fillId="0" borderId="18" xfId="5" applyNumberFormat="1" applyFont="1" applyBorder="1" applyAlignment="1">
      <alignment horizontal="center" vertical="center"/>
    </xf>
    <xf numFmtId="0" fontId="23" fillId="0" borderId="30" xfId="3" applyNumberFormat="1" applyFont="1" applyBorder="1" applyAlignment="1">
      <alignment horizontal="left" vertical="center" wrapText="1"/>
    </xf>
    <xf numFmtId="0" fontId="33" fillId="0" borderId="29" xfId="3" applyNumberFormat="1" applyFont="1" applyBorder="1" applyAlignment="1">
      <alignment horizontal="left" vertical="center" wrapText="1"/>
    </xf>
    <xf numFmtId="0" fontId="33" fillId="0" borderId="29" xfId="3" applyNumberFormat="1" applyFont="1" applyBorder="1" applyAlignment="1">
      <alignment horizontal="left" vertical="center"/>
    </xf>
    <xf numFmtId="0" fontId="33" fillId="2" borderId="29" xfId="2" applyNumberFormat="1" applyFont="1" applyFill="1" applyBorder="1" applyAlignment="1">
      <alignment horizontal="left" vertical="center" wrapText="1"/>
    </xf>
    <xf numFmtId="0" fontId="33" fillId="0" borderId="29" xfId="3" applyNumberFormat="1" applyFont="1" applyFill="1" applyBorder="1" applyAlignment="1" applyProtection="1">
      <alignment horizontal="left" vertical="center" wrapText="1"/>
    </xf>
    <xf numFmtId="0" fontId="33" fillId="0" borderId="29" xfId="2" applyNumberFormat="1" applyFont="1" applyBorder="1" applyAlignment="1">
      <alignment horizontal="left" vertical="center" wrapText="1"/>
    </xf>
    <xf numFmtId="0" fontId="33" fillId="0" borderId="30" xfId="3" applyNumberFormat="1" applyFont="1" applyBorder="1" applyAlignment="1">
      <alignment horizontal="left" vertical="center"/>
    </xf>
    <xf numFmtId="0" fontId="4" fillId="2" borderId="11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0" borderId="32" xfId="3" applyNumberFormat="1" applyFont="1" applyBorder="1" applyAlignment="1">
      <alignment horizontal="center" vertical="center"/>
    </xf>
    <xf numFmtId="0" fontId="4" fillId="0" borderId="2" xfId="3" applyNumberFormat="1" applyFont="1" applyBorder="1" applyAlignment="1">
      <alignment horizontal="center" vertical="center"/>
    </xf>
    <xf numFmtId="0" fontId="4" fillId="0" borderId="4" xfId="3" applyNumberFormat="1" applyFont="1" applyBorder="1" applyAlignment="1">
      <alignment horizontal="center" vertical="center"/>
    </xf>
    <xf numFmtId="0" fontId="24" fillId="2" borderId="0" xfId="3" applyNumberFormat="1" applyFont="1" applyFill="1" applyAlignment="1">
      <alignment horizontal="center" vertical="center"/>
    </xf>
    <xf numFmtId="41" fontId="3" fillId="0" borderId="22" xfId="5" applyNumberFormat="1" applyFont="1" applyFill="1" applyBorder="1" applyAlignment="1" applyProtection="1">
      <alignment horizontal="center" vertical="center" wrapText="1"/>
    </xf>
    <xf numFmtId="41" fontId="3" fillId="0" borderId="21" xfId="5" applyNumberFormat="1" applyFont="1" applyFill="1" applyBorder="1" applyAlignment="1" applyProtection="1">
      <alignment horizontal="center" vertical="center" wrapText="1"/>
    </xf>
    <xf numFmtId="0" fontId="2" fillId="0" borderId="1" xfId="3" applyNumberFormat="1" applyFont="1" applyFill="1" applyBorder="1" applyAlignment="1" applyProtection="1">
      <alignment horizontal="center" vertical="center"/>
    </xf>
    <xf numFmtId="0" fontId="2" fillId="0" borderId="34" xfId="3" applyNumberFormat="1" applyFont="1" applyFill="1" applyBorder="1" applyAlignment="1" applyProtection="1">
      <alignment horizontal="center" vertical="center"/>
    </xf>
    <xf numFmtId="0" fontId="2" fillId="0" borderId="26" xfId="3" applyNumberFormat="1" applyFont="1" applyFill="1" applyBorder="1" applyAlignment="1" applyProtection="1">
      <alignment horizontal="center" vertical="center"/>
    </xf>
    <xf numFmtId="0" fontId="3" fillId="0" borderId="31" xfId="3" applyNumberFormat="1" applyFont="1" applyFill="1" applyBorder="1" applyAlignment="1" applyProtection="1">
      <alignment horizontal="center" vertical="center"/>
    </xf>
    <xf numFmtId="0" fontId="3" fillId="0" borderId="17" xfId="3" applyNumberFormat="1" applyFont="1" applyFill="1" applyBorder="1" applyAlignment="1" applyProtection="1">
      <alignment horizontal="center" vertical="center"/>
    </xf>
    <xf numFmtId="0" fontId="3" fillId="0" borderId="22" xfId="3" applyNumberFormat="1" applyFont="1" applyFill="1" applyBorder="1" applyAlignment="1" applyProtection="1">
      <alignment horizontal="center" vertical="center"/>
    </xf>
    <xf numFmtId="0" fontId="3" fillId="0" borderId="21" xfId="3" applyNumberFormat="1" applyFont="1" applyFill="1" applyBorder="1" applyAlignment="1" applyProtection="1">
      <alignment horizontal="center" vertical="center"/>
    </xf>
    <xf numFmtId="0" fontId="3" fillId="0" borderId="23" xfId="3" applyNumberFormat="1" applyFont="1" applyFill="1" applyBorder="1" applyAlignment="1" applyProtection="1">
      <alignment horizontal="center" vertical="center"/>
    </xf>
    <xf numFmtId="0" fontId="3" fillId="0" borderId="25" xfId="3" applyNumberFormat="1" applyFont="1" applyFill="1" applyBorder="1" applyAlignment="1" applyProtection="1">
      <alignment horizontal="center" vertical="center"/>
    </xf>
    <xf numFmtId="0" fontId="21" fillId="2" borderId="28" xfId="3" applyNumberFormat="1" applyFont="1" applyFill="1" applyBorder="1" applyAlignment="1" applyProtection="1">
      <alignment horizontal="center" vertical="center"/>
    </xf>
    <xf numFmtId="0" fontId="21" fillId="2" borderId="38" xfId="3" applyNumberFormat="1" applyFont="1" applyFill="1" applyBorder="1" applyAlignment="1" applyProtection="1">
      <alignment horizontal="center" vertical="center"/>
    </xf>
    <xf numFmtId="0" fontId="4" fillId="0" borderId="22" xfId="3" applyNumberFormat="1" applyFont="1" applyFill="1" applyBorder="1" applyAlignment="1" applyProtection="1">
      <alignment horizontal="center" vertical="center" wrapText="1"/>
    </xf>
    <xf numFmtId="0" fontId="4" fillId="0" borderId="21" xfId="3" applyNumberFormat="1" applyFont="1" applyFill="1" applyBorder="1" applyAlignment="1" applyProtection="1">
      <alignment horizontal="center" vertical="center" wrapText="1"/>
    </xf>
    <xf numFmtId="0" fontId="4" fillId="0" borderId="19" xfId="3" applyNumberFormat="1" applyFont="1" applyFill="1" applyBorder="1" applyAlignment="1" applyProtection="1">
      <alignment horizontal="center" vertical="center"/>
    </xf>
    <xf numFmtId="0" fontId="4" fillId="0" borderId="20" xfId="3" applyNumberFormat="1" applyFont="1" applyFill="1" applyBorder="1" applyAlignment="1" applyProtection="1">
      <alignment horizontal="center" vertical="center"/>
    </xf>
    <xf numFmtId="0" fontId="4" fillId="0" borderId="21" xfId="3" applyNumberFormat="1" applyFont="1" applyFill="1" applyBorder="1" applyAlignment="1" applyProtection="1">
      <alignment horizontal="center" vertical="center"/>
    </xf>
    <xf numFmtId="41" fontId="4" fillId="0" borderId="17" xfId="5" applyNumberFormat="1" applyFont="1" applyFill="1" applyBorder="1" applyAlignment="1" applyProtection="1">
      <alignment horizontal="center" vertical="center"/>
    </xf>
    <xf numFmtId="0" fontId="4" fillId="0" borderId="17" xfId="3" applyNumberFormat="1" applyFont="1" applyFill="1" applyBorder="1" applyAlignment="1" applyProtection="1">
      <alignment vertical="center"/>
    </xf>
    <xf numFmtId="0" fontId="4" fillId="0" borderId="23" xfId="3" applyNumberFormat="1" applyFont="1" applyFill="1" applyBorder="1" applyAlignment="1" applyProtection="1">
      <alignment horizontal="center" vertical="center"/>
    </xf>
    <xf numFmtId="0" fontId="4" fillId="0" borderId="25" xfId="3" applyNumberFormat="1" applyFont="1" applyFill="1" applyBorder="1" applyAlignment="1" applyProtection="1">
      <alignment horizontal="center" vertical="center"/>
    </xf>
    <xf numFmtId="0" fontId="4" fillId="2" borderId="26" xfId="3" applyNumberFormat="1" applyFont="1" applyFill="1" applyBorder="1" applyAlignment="1">
      <alignment horizontal="center" vertical="center"/>
    </xf>
    <xf numFmtId="41" fontId="14" fillId="2" borderId="11" xfId="1" applyNumberFormat="1" applyFont="1" applyFill="1" applyBorder="1" applyAlignment="1" applyProtection="1">
      <alignment horizontal="center" vertical="center"/>
      <protection locked="0"/>
    </xf>
    <xf numFmtId="41" fontId="14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11" xfId="1" applyNumberFormat="1" applyFont="1" applyFill="1" applyBorder="1" applyAlignment="1" applyProtection="1">
      <alignment horizontal="center" vertical="center"/>
      <protection locked="0"/>
    </xf>
    <xf numFmtId="41" fontId="3" fillId="0" borderId="5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 wrapText="1"/>
      <protection locked="0"/>
    </xf>
    <xf numFmtId="41" fontId="3" fillId="2" borderId="5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3" xfId="1" applyNumberFormat="1" applyFont="1" applyFill="1" applyBorder="1" applyAlignment="1" applyProtection="1">
      <alignment horizontal="center" vertical="center"/>
      <protection locked="0"/>
    </xf>
    <xf numFmtId="41" fontId="3" fillId="0" borderId="14" xfId="1" applyNumberFormat="1" applyFont="1" applyFill="1" applyBorder="1" applyAlignment="1" applyProtection="1">
      <alignment horizontal="center" vertical="center"/>
      <protection locked="0"/>
    </xf>
    <xf numFmtId="41" fontId="3" fillId="0" borderId="7" xfId="1" applyNumberFormat="1" applyFont="1" applyFill="1" applyBorder="1" applyAlignment="1" applyProtection="1">
      <alignment horizontal="center" vertical="center"/>
      <protection locked="0"/>
    </xf>
    <xf numFmtId="41" fontId="3" fillId="2" borderId="11" xfId="1" applyNumberFormat="1" applyFont="1" applyFill="1" applyBorder="1" applyAlignment="1" applyProtection="1">
      <alignment horizontal="center" vertical="center"/>
      <protection locked="0"/>
    </xf>
    <xf numFmtId="41" fontId="3" fillId="2" borderId="5" xfId="1" applyNumberFormat="1" applyFont="1" applyFill="1" applyBorder="1" applyAlignment="1" applyProtection="1">
      <alignment horizontal="center" vertical="center"/>
      <protection locked="0"/>
    </xf>
    <xf numFmtId="41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7" xfId="1" applyNumberFormat="1" applyFont="1" applyFill="1" applyBorder="1" applyAlignment="1" applyProtection="1">
      <alignment horizontal="center" vertical="center" wrapText="1"/>
      <protection locked="0"/>
    </xf>
    <xf numFmtId="41" fontId="15" fillId="0" borderId="11" xfId="1" applyNumberFormat="1" applyFont="1" applyFill="1" applyBorder="1" applyAlignment="1" applyProtection="1">
      <alignment horizontal="center" vertical="center"/>
    </xf>
    <xf numFmtId="41" fontId="15" fillId="0" borderId="6" xfId="1" applyNumberFormat="1" applyFont="1" applyFill="1" applyBorder="1" applyAlignment="1" applyProtection="1">
      <alignment horizontal="center" vertical="center"/>
    </xf>
    <xf numFmtId="41" fontId="15" fillId="0" borderId="5" xfId="1" applyNumberFormat="1" applyFont="1" applyFill="1" applyBorder="1" applyAlignment="1" applyProtection="1">
      <alignment horizontal="center" vertical="center"/>
    </xf>
    <xf numFmtId="41" fontId="3" fillId="0" borderId="15" xfId="1" applyNumberFormat="1" applyFont="1" applyFill="1" applyBorder="1" applyAlignment="1" applyProtection="1">
      <alignment horizontal="center" vertical="center"/>
      <protection locked="0"/>
    </xf>
    <xf numFmtId="41" fontId="3" fillId="0" borderId="10" xfId="1" applyNumberFormat="1" applyFont="1" applyFill="1" applyBorder="1" applyAlignment="1" applyProtection="1">
      <alignment horizontal="center" vertical="center"/>
      <protection locked="0"/>
    </xf>
    <xf numFmtId="41" fontId="3" fillId="0" borderId="13" xfId="1" applyNumberFormat="1" applyFont="1" applyFill="1" applyBorder="1" applyAlignment="1" applyProtection="1">
      <alignment horizontal="center" vertical="center"/>
      <protection locked="0"/>
    </xf>
    <xf numFmtId="41" fontId="3" fillId="0" borderId="4" xfId="1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Fill="1" applyBorder="1" applyAlignment="1" applyProtection="1">
      <alignment horizontal="center" vertical="center"/>
    </xf>
    <xf numFmtId="41" fontId="16" fillId="0" borderId="0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Border="1" applyAlignment="1">
      <alignment horizontal="left" vertical="center"/>
    </xf>
    <xf numFmtId="41" fontId="15" fillId="0" borderId="3" xfId="1" applyNumberFormat="1" applyFont="1" applyFill="1" applyBorder="1" applyAlignment="1" applyProtection="1">
      <alignment horizontal="center" vertical="center"/>
    </xf>
    <xf numFmtId="41" fontId="15" fillId="0" borderId="14" xfId="1" applyNumberFormat="1" applyFont="1" applyFill="1" applyBorder="1" applyAlignment="1" applyProtection="1">
      <alignment horizontal="center" vertical="center"/>
    </xf>
    <xf numFmtId="41" fontId="15" fillId="0" borderId="7" xfId="1" applyNumberFormat="1" applyFont="1" applyFill="1" applyBorder="1" applyAlignment="1" applyProtection="1">
      <alignment horizontal="center" vertical="center"/>
    </xf>
    <xf numFmtId="41" fontId="3" fillId="2" borderId="6" xfId="1" applyNumberFormat="1" applyFont="1" applyFill="1" applyBorder="1" applyAlignment="1" applyProtection="1">
      <alignment horizontal="center" vertical="center" wrapText="1"/>
      <protection locked="0"/>
    </xf>
    <xf numFmtId="41" fontId="3" fillId="0" borderId="1" xfId="1" applyNumberFormat="1" applyFont="1" applyFill="1" applyBorder="1" applyAlignment="1" applyProtection="1">
      <alignment horizontal="center" vertical="center"/>
      <protection locked="0"/>
    </xf>
    <xf numFmtId="177" fontId="3" fillId="0" borderId="5" xfId="5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  <xf numFmtId="0" fontId="7" fillId="2" borderId="16" xfId="3" applyNumberFormat="1" applyFont="1" applyFill="1" applyBorder="1" applyAlignment="1" applyProtection="1">
      <alignment horizontal="left" vertical="center"/>
    </xf>
    <xf numFmtId="41" fontId="6" fillId="2" borderId="0" xfId="5" applyNumberFormat="1" applyFont="1" applyFill="1" applyBorder="1" applyAlignment="1" applyProtection="1">
      <alignment horizontal="center" vertical="center"/>
    </xf>
    <xf numFmtId="0" fontId="7" fillId="2" borderId="1" xfId="2" applyNumberFormat="1" applyFont="1" applyFill="1" applyBorder="1" applyAlignment="1" applyProtection="1">
      <alignment horizontal="right" vertical="center" wrapText="1"/>
    </xf>
    <xf numFmtId="0" fontId="7" fillId="2" borderId="1" xfId="2" applyNumberFormat="1" applyFont="1" applyFill="1" applyBorder="1" applyAlignment="1" applyProtection="1">
      <alignment horizontal="right" vertical="center"/>
    </xf>
    <xf numFmtId="0" fontId="7" fillId="5" borderId="1" xfId="2" applyNumberFormat="1" applyFont="1" applyFill="1" applyBorder="1" applyAlignment="1" applyProtection="1">
      <alignment horizontal="center" vertical="center"/>
    </xf>
    <xf numFmtId="0" fontId="7" fillId="4" borderId="1" xfId="2" applyNumberFormat="1" applyFont="1" applyFill="1" applyBorder="1" applyAlignment="1" applyProtection="1">
      <alignment horizontal="center" vertical="center"/>
    </xf>
    <xf numFmtId="0" fontId="10" fillId="2" borderId="1" xfId="2" applyNumberFormat="1" applyFont="1" applyFill="1" applyBorder="1" applyAlignment="1" applyProtection="1">
      <alignment horizontal="center" vertical="center" wrapText="1"/>
    </xf>
    <xf numFmtId="0" fontId="10" fillId="2" borderId="1" xfId="2" applyNumberFormat="1" applyFont="1" applyFill="1" applyBorder="1" applyAlignment="1" applyProtection="1">
      <alignment horizontal="center" vertical="center"/>
    </xf>
    <xf numFmtId="0" fontId="7" fillId="6" borderId="1" xfId="2" applyNumberFormat="1" applyFont="1" applyFill="1" applyBorder="1" applyAlignment="1" applyProtection="1">
      <alignment horizontal="center" vertical="center"/>
    </xf>
    <xf numFmtId="0" fontId="8" fillId="2" borderId="1" xfId="3" applyNumberFormat="1" applyFont="1" applyFill="1" applyBorder="1" applyAlignment="1" applyProtection="1">
      <alignment horizontal="left" vertical="center" wrapText="1"/>
    </xf>
    <xf numFmtId="0" fontId="8" fillId="2" borderId="1" xfId="3" applyNumberFormat="1" applyFont="1" applyFill="1" applyBorder="1" applyAlignment="1" applyProtection="1">
      <alignment horizontal="left" vertical="center"/>
    </xf>
    <xf numFmtId="0" fontId="6" fillId="2" borderId="0" xfId="4" applyNumberFormat="1" applyFont="1" applyFill="1" applyAlignment="1">
      <alignment horizontal="center" vertical="center"/>
    </xf>
    <xf numFmtId="0" fontId="9" fillId="2" borderId="11" xfId="4" applyNumberFormat="1" applyFont="1" applyFill="1" applyBorder="1" applyAlignment="1">
      <alignment horizontal="center" vertical="center"/>
    </xf>
    <xf numFmtId="0" fontId="9" fillId="2" borderId="5" xfId="4" applyNumberFormat="1" applyFont="1" applyFill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</cellXfs>
  <cellStyles count="8">
    <cellStyle name="백분율" xfId="7" builtinId="5"/>
    <cellStyle name="쉼표 [0]" xfId="1" builtinId="6"/>
    <cellStyle name="쉼표 [0] 2" xfId="5"/>
    <cellStyle name="쉼표 [0] 2 2" xfId="6"/>
    <cellStyle name="표준" xfId="0" builtinId="0"/>
    <cellStyle name="표준 2" xfId="3"/>
    <cellStyle name="표준_Sheet2" xfId="2"/>
    <cellStyle name="표준_Sheet4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>
      <xdr:nvPicPr>
        <xdr:cNvPr id="2" name="object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2"/>
  <sheetViews>
    <sheetView zoomScaleNormal="100" workbookViewId="0">
      <selection activeCell="F6" sqref="F6"/>
    </sheetView>
  </sheetViews>
  <sheetFormatPr defaultColWidth="9" defaultRowHeight="13.5" x14ac:dyDescent="0.3"/>
  <cols>
    <col min="1" max="1" width="15.625" style="26" customWidth="1"/>
    <col min="2" max="2" width="15.625" style="72" customWidth="1"/>
    <col min="3" max="3" width="14.375" style="72" customWidth="1"/>
    <col min="4" max="5" width="13.625" style="70" customWidth="1"/>
    <col min="6" max="6" width="14.125" style="26" customWidth="1"/>
    <col min="7" max="7" width="15.625" style="26" customWidth="1"/>
    <col min="8" max="8" width="42.25" style="26" customWidth="1"/>
    <col min="9" max="10" width="10" style="26" customWidth="1"/>
    <col min="11" max="11" width="18.875" style="26" customWidth="1"/>
    <col min="12" max="256" width="10" style="26" customWidth="1"/>
    <col min="257" max="16384" width="9" style="22"/>
  </cols>
  <sheetData>
    <row r="1" spans="1:11" ht="25.5" x14ac:dyDescent="0.3">
      <c r="A1" s="235" t="s">
        <v>288</v>
      </c>
      <c r="B1" s="235"/>
      <c r="C1" s="235"/>
      <c r="D1" s="235"/>
      <c r="E1" s="235"/>
      <c r="F1" s="235"/>
      <c r="G1" s="235"/>
      <c r="H1" s="235"/>
    </row>
    <row r="2" spans="1:11" ht="15" customHeight="1" x14ac:dyDescent="0.3">
      <c r="A2" s="137"/>
      <c r="B2" s="137"/>
      <c r="C2" s="138"/>
      <c r="D2" s="139"/>
      <c r="E2" s="139"/>
      <c r="F2" s="137"/>
      <c r="G2" s="137"/>
      <c r="H2" s="137"/>
    </row>
    <row r="3" spans="1:11" ht="19.5" thickBot="1" x14ac:dyDescent="0.35">
      <c r="A3" s="140" t="s">
        <v>235</v>
      </c>
      <c r="B3" s="141"/>
      <c r="C3" s="138"/>
      <c r="D3" s="142"/>
      <c r="E3" s="142"/>
      <c r="F3" s="143"/>
      <c r="G3" s="144"/>
      <c r="H3" s="145" t="s">
        <v>86</v>
      </c>
    </row>
    <row r="4" spans="1:11" s="28" customFormat="1" ht="26.1" customHeight="1" x14ac:dyDescent="0.3">
      <c r="A4" s="241" t="s">
        <v>85</v>
      </c>
      <c r="B4" s="242"/>
      <c r="C4" s="242"/>
      <c r="D4" s="236" t="s">
        <v>292</v>
      </c>
      <c r="E4" s="237"/>
      <c r="F4" s="243" t="s">
        <v>10</v>
      </c>
      <c r="G4" s="244"/>
      <c r="H4" s="245" t="s">
        <v>16</v>
      </c>
    </row>
    <row r="5" spans="1:11" s="28" customFormat="1" ht="26.1" customHeight="1" thickBot="1" x14ac:dyDescent="0.35">
      <c r="A5" s="112" t="s">
        <v>55</v>
      </c>
      <c r="B5" s="113" t="s">
        <v>59</v>
      </c>
      <c r="C5" s="113" t="s">
        <v>37</v>
      </c>
      <c r="D5" s="114" t="s">
        <v>289</v>
      </c>
      <c r="E5" s="209" t="s">
        <v>290</v>
      </c>
      <c r="F5" s="115" t="s">
        <v>44</v>
      </c>
      <c r="G5" s="116" t="s">
        <v>38</v>
      </c>
      <c r="H5" s="246"/>
      <c r="K5" s="187"/>
    </row>
    <row r="6" spans="1:11" ht="26.1" customHeight="1" thickTop="1" x14ac:dyDescent="0.3">
      <c r="A6" s="232" t="s">
        <v>87</v>
      </c>
      <c r="B6" s="233"/>
      <c r="C6" s="234"/>
      <c r="D6" s="210">
        <f>D7+D12+D17+D21+D24</f>
        <v>1158876</v>
      </c>
      <c r="E6" s="210">
        <f>E7+E12+E17+E21+E24</f>
        <v>1158876</v>
      </c>
      <c r="F6" s="211"/>
      <c r="G6" s="211"/>
      <c r="H6" s="212" t="s">
        <v>297</v>
      </c>
      <c r="K6" s="185"/>
    </row>
    <row r="7" spans="1:11" ht="26.1" customHeight="1" x14ac:dyDescent="0.3">
      <c r="A7" s="117" t="s">
        <v>105</v>
      </c>
      <c r="B7" s="118"/>
      <c r="C7" s="119"/>
      <c r="D7" s="213">
        <f>D8</f>
        <v>897906</v>
      </c>
      <c r="E7" s="213">
        <f>E8</f>
        <v>897906</v>
      </c>
      <c r="F7" s="211"/>
      <c r="G7" s="211"/>
      <c r="H7" s="212"/>
    </row>
    <row r="8" spans="1:11" ht="26.1" customHeight="1" x14ac:dyDescent="0.3">
      <c r="A8" s="120"/>
      <c r="B8" s="118" t="s">
        <v>105</v>
      </c>
      <c r="C8" s="119"/>
      <c r="D8" s="214">
        <f>D9+D10</f>
        <v>897906</v>
      </c>
      <c r="E8" s="214">
        <f>E9+E10</f>
        <v>897906</v>
      </c>
      <c r="F8" s="211"/>
      <c r="G8" s="211"/>
      <c r="H8" s="212"/>
    </row>
    <row r="9" spans="1:11" ht="78" customHeight="1" x14ac:dyDescent="0.3">
      <c r="A9" s="239"/>
      <c r="B9" s="238"/>
      <c r="C9" s="118" t="s">
        <v>107</v>
      </c>
      <c r="D9" s="214">
        <v>865168</v>
      </c>
      <c r="E9" s="214">
        <v>865168</v>
      </c>
      <c r="F9" s="211"/>
      <c r="G9" s="211"/>
      <c r="H9" s="215" t="s">
        <v>293</v>
      </c>
      <c r="J9" s="108"/>
      <c r="K9" s="109"/>
    </row>
    <row r="10" spans="1:11" ht="114" customHeight="1" x14ac:dyDescent="0.3">
      <c r="A10" s="239"/>
      <c r="B10" s="238"/>
      <c r="C10" s="118" t="s">
        <v>81</v>
      </c>
      <c r="D10" s="214">
        <v>32738</v>
      </c>
      <c r="E10" s="214">
        <v>32738</v>
      </c>
      <c r="F10" s="211"/>
      <c r="G10" s="211"/>
      <c r="H10" s="215" t="s">
        <v>294</v>
      </c>
    </row>
    <row r="11" spans="1:11" ht="35.25" hidden="1" customHeight="1" x14ac:dyDescent="0.3">
      <c r="A11" s="240"/>
      <c r="B11" s="238"/>
      <c r="C11" s="118" t="s">
        <v>121</v>
      </c>
      <c r="D11" s="214"/>
      <c r="E11" s="214"/>
      <c r="F11" s="211"/>
      <c r="G11" s="211"/>
      <c r="H11" s="215"/>
    </row>
    <row r="12" spans="1:11" ht="26.1" customHeight="1" x14ac:dyDescent="0.3">
      <c r="A12" s="117" t="s">
        <v>116</v>
      </c>
      <c r="B12" s="118"/>
      <c r="C12" s="118"/>
      <c r="D12" s="213">
        <f>D13</f>
        <v>122500</v>
      </c>
      <c r="E12" s="213">
        <f>E13</f>
        <v>122500</v>
      </c>
      <c r="F12" s="211"/>
      <c r="G12" s="211"/>
      <c r="H12" s="216"/>
    </row>
    <row r="13" spans="1:11" ht="26.1" customHeight="1" x14ac:dyDescent="0.3">
      <c r="A13" s="121"/>
      <c r="B13" s="118" t="s">
        <v>116</v>
      </c>
      <c r="C13" s="118"/>
      <c r="D13" s="213">
        <f>D14+D15+D16</f>
        <v>122500</v>
      </c>
      <c r="E13" s="213">
        <f>E14+E15+E16</f>
        <v>122500</v>
      </c>
      <c r="F13" s="211"/>
      <c r="G13" s="211"/>
      <c r="H13" s="216"/>
    </row>
    <row r="14" spans="1:11" ht="39.75" customHeight="1" x14ac:dyDescent="0.3">
      <c r="A14" s="121"/>
      <c r="B14" s="229"/>
      <c r="C14" s="122" t="s">
        <v>99</v>
      </c>
      <c r="D14" s="214">
        <v>60000</v>
      </c>
      <c r="E14" s="214">
        <v>60000</v>
      </c>
      <c r="F14" s="211"/>
      <c r="G14" s="211"/>
      <c r="H14" s="215" t="s">
        <v>295</v>
      </c>
    </row>
    <row r="15" spans="1:11" ht="32.25" customHeight="1" x14ac:dyDescent="0.3">
      <c r="A15" s="121"/>
      <c r="B15" s="230"/>
      <c r="C15" s="123" t="s">
        <v>84</v>
      </c>
      <c r="D15" s="214">
        <v>60000</v>
      </c>
      <c r="E15" s="214">
        <v>60000</v>
      </c>
      <c r="F15" s="211"/>
      <c r="G15" s="211"/>
      <c r="H15" s="215"/>
    </row>
    <row r="16" spans="1:11" ht="32.25" customHeight="1" x14ac:dyDescent="0.3">
      <c r="A16" s="121"/>
      <c r="B16" s="231"/>
      <c r="C16" s="123" t="s">
        <v>200</v>
      </c>
      <c r="D16" s="214">
        <v>2500</v>
      </c>
      <c r="E16" s="214">
        <v>2500</v>
      </c>
      <c r="F16" s="211"/>
      <c r="G16" s="211"/>
      <c r="H16" s="215"/>
    </row>
    <row r="17" spans="1:8" ht="26.1" customHeight="1" x14ac:dyDescent="0.3">
      <c r="A17" s="117" t="s">
        <v>35</v>
      </c>
      <c r="B17" s="118"/>
      <c r="C17" s="124"/>
      <c r="D17" s="214">
        <f>D18</f>
        <v>7000</v>
      </c>
      <c r="E17" s="214">
        <f>E18</f>
        <v>7000</v>
      </c>
      <c r="F17" s="211"/>
      <c r="G17" s="211"/>
      <c r="H17" s="130"/>
    </row>
    <row r="18" spans="1:8" ht="26.1" customHeight="1" x14ac:dyDescent="0.3">
      <c r="A18" s="120"/>
      <c r="B18" s="118" t="s">
        <v>35</v>
      </c>
      <c r="C18" s="124"/>
      <c r="D18" s="214">
        <f>D19+D20</f>
        <v>7000</v>
      </c>
      <c r="E18" s="214">
        <f>E19+E20</f>
        <v>7000</v>
      </c>
      <c r="F18" s="211"/>
      <c r="G18" s="211"/>
      <c r="H18" s="130"/>
    </row>
    <row r="19" spans="1:8" ht="30.75" customHeight="1" x14ac:dyDescent="0.3">
      <c r="A19" s="125"/>
      <c r="B19" s="126"/>
      <c r="C19" s="124" t="s">
        <v>97</v>
      </c>
      <c r="D19" s="214">
        <v>2000</v>
      </c>
      <c r="E19" s="214">
        <v>2000</v>
      </c>
      <c r="F19" s="211"/>
      <c r="G19" s="211"/>
      <c r="H19" s="130" t="s">
        <v>178</v>
      </c>
    </row>
    <row r="20" spans="1:8" ht="33" customHeight="1" x14ac:dyDescent="0.3">
      <c r="A20" s="127"/>
      <c r="B20" s="128"/>
      <c r="C20" s="129" t="s">
        <v>19</v>
      </c>
      <c r="D20" s="214">
        <v>5000</v>
      </c>
      <c r="E20" s="214">
        <v>5000</v>
      </c>
      <c r="F20" s="211"/>
      <c r="G20" s="211"/>
      <c r="H20" s="130"/>
    </row>
    <row r="21" spans="1:8" ht="26.1" customHeight="1" x14ac:dyDescent="0.3">
      <c r="A21" s="117" t="s">
        <v>31</v>
      </c>
      <c r="B21" s="118"/>
      <c r="C21" s="118"/>
      <c r="D21" s="214">
        <f>D22</f>
        <v>116690</v>
      </c>
      <c r="E21" s="214">
        <f>E22</f>
        <v>116690</v>
      </c>
      <c r="F21" s="211"/>
      <c r="G21" s="211"/>
      <c r="H21" s="217"/>
    </row>
    <row r="22" spans="1:8" ht="26.1" customHeight="1" x14ac:dyDescent="0.3">
      <c r="A22" s="120"/>
      <c r="B22" s="118" t="s">
        <v>31</v>
      </c>
      <c r="C22" s="118"/>
      <c r="D22" s="214">
        <f>D23</f>
        <v>116690</v>
      </c>
      <c r="E22" s="214">
        <f>E23</f>
        <v>116690</v>
      </c>
      <c r="F22" s="211"/>
      <c r="G22" s="211"/>
      <c r="H22" s="217"/>
    </row>
    <row r="23" spans="1:8" ht="49.5" customHeight="1" x14ac:dyDescent="0.3">
      <c r="A23" s="127"/>
      <c r="B23" s="131"/>
      <c r="C23" s="132" t="s">
        <v>88</v>
      </c>
      <c r="D23" s="214">
        <v>116690</v>
      </c>
      <c r="E23" s="214">
        <v>116690</v>
      </c>
      <c r="F23" s="211"/>
      <c r="G23" s="211"/>
      <c r="H23" s="218" t="s">
        <v>262</v>
      </c>
    </row>
    <row r="24" spans="1:8" ht="26.1" customHeight="1" x14ac:dyDescent="0.3">
      <c r="A24" s="117" t="s">
        <v>39</v>
      </c>
      <c r="B24" s="118"/>
      <c r="C24" s="118"/>
      <c r="D24" s="214">
        <f>D25</f>
        <v>14780</v>
      </c>
      <c r="E24" s="214">
        <f>E25</f>
        <v>14780</v>
      </c>
      <c r="F24" s="211"/>
      <c r="G24" s="211"/>
      <c r="H24" s="216"/>
    </row>
    <row r="25" spans="1:8" ht="26.1" customHeight="1" x14ac:dyDescent="0.3">
      <c r="A25" s="121"/>
      <c r="B25" s="118" t="s">
        <v>39</v>
      </c>
      <c r="C25" s="118"/>
      <c r="D25" s="214">
        <f>D26+D27+D28</f>
        <v>14780</v>
      </c>
      <c r="E25" s="214">
        <f>E26+E27+E28</f>
        <v>14780</v>
      </c>
      <c r="F25" s="211"/>
      <c r="G25" s="211"/>
      <c r="H25" s="216"/>
    </row>
    <row r="26" spans="1:8" ht="33" customHeight="1" x14ac:dyDescent="0.3">
      <c r="A26" s="121"/>
      <c r="B26" s="122"/>
      <c r="C26" s="132" t="s">
        <v>14</v>
      </c>
      <c r="D26" s="214">
        <v>600</v>
      </c>
      <c r="E26" s="214">
        <v>600</v>
      </c>
      <c r="F26" s="211"/>
      <c r="G26" s="211"/>
      <c r="H26" s="216"/>
    </row>
    <row r="27" spans="1:8" ht="61.5" customHeight="1" x14ac:dyDescent="0.3">
      <c r="A27" s="121"/>
      <c r="B27" s="122"/>
      <c r="C27" s="133" t="s">
        <v>204</v>
      </c>
      <c r="D27" s="214">
        <v>13680</v>
      </c>
      <c r="E27" s="214">
        <v>13680</v>
      </c>
      <c r="F27" s="211"/>
      <c r="G27" s="211"/>
      <c r="H27" s="219" t="s">
        <v>258</v>
      </c>
    </row>
    <row r="28" spans="1:8" ht="72.75" customHeight="1" thickBot="1" x14ac:dyDescent="0.35">
      <c r="A28" s="134"/>
      <c r="B28" s="135"/>
      <c r="C28" s="136" t="s">
        <v>96</v>
      </c>
      <c r="D28" s="220">
        <v>500</v>
      </c>
      <c r="E28" s="220">
        <v>500</v>
      </c>
      <c r="F28" s="221"/>
      <c r="G28" s="221"/>
      <c r="H28" s="222" t="s">
        <v>296</v>
      </c>
    </row>
    <row r="29" spans="1:8" x14ac:dyDescent="0.3">
      <c r="F29" s="107"/>
      <c r="G29" s="107"/>
    </row>
    <row r="32" spans="1:8" x14ac:dyDescent="0.3">
      <c r="H32" s="26" t="s">
        <v>214</v>
      </c>
    </row>
  </sheetData>
  <mergeCells count="9">
    <mergeCell ref="B14:B16"/>
    <mergeCell ref="A6:C6"/>
    <mergeCell ref="A1:H1"/>
    <mergeCell ref="D4:E4"/>
    <mergeCell ref="B9:B11"/>
    <mergeCell ref="A9:A11"/>
    <mergeCell ref="A4:C4"/>
    <mergeCell ref="F4:G4"/>
    <mergeCell ref="H4:H5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S64"/>
  <sheetViews>
    <sheetView zoomScale="90" zoomScaleNormal="90" workbookViewId="0">
      <selection activeCell="E6" sqref="E6"/>
    </sheetView>
  </sheetViews>
  <sheetFormatPr defaultColWidth="9" defaultRowHeight="13.5" x14ac:dyDescent="0.3"/>
  <cols>
    <col min="1" max="1" width="12.625" style="26" bestFit="1" customWidth="1"/>
    <col min="2" max="2" width="12.625" style="72" bestFit="1" customWidth="1"/>
    <col min="3" max="3" width="18.25" style="72" bestFit="1" customWidth="1"/>
    <col min="4" max="4" width="17" style="26" bestFit="1" customWidth="1"/>
    <col min="5" max="5" width="17" style="26" customWidth="1"/>
    <col min="6" max="6" width="14.75" style="26" bestFit="1" customWidth="1"/>
    <col min="7" max="7" width="13.75" style="26" customWidth="1"/>
    <col min="8" max="8" width="42.625" style="71" customWidth="1"/>
    <col min="9" max="253" width="10" style="26" customWidth="1"/>
    <col min="254" max="16384" width="9" style="22"/>
  </cols>
  <sheetData>
    <row r="1" spans="1:10" ht="39" customHeight="1" x14ac:dyDescent="0.3">
      <c r="A1" s="235" t="s">
        <v>314</v>
      </c>
      <c r="B1" s="235"/>
      <c r="C1" s="235"/>
      <c r="D1" s="235"/>
      <c r="E1" s="235"/>
      <c r="F1" s="235"/>
      <c r="G1" s="235"/>
      <c r="H1" s="235"/>
    </row>
    <row r="2" spans="1:10" ht="25.5" x14ac:dyDescent="0.3">
      <c r="A2" s="137"/>
      <c r="B2" s="137"/>
      <c r="C2" s="137"/>
      <c r="D2" s="146"/>
      <c r="E2" s="146"/>
      <c r="F2" s="137"/>
      <c r="G2" s="137"/>
      <c r="H2" s="147"/>
    </row>
    <row r="3" spans="1:10" s="26" customFormat="1" ht="14.25" thickBot="1" x14ac:dyDescent="0.35">
      <c r="A3" s="148" t="s">
        <v>108</v>
      </c>
      <c r="B3" s="148"/>
      <c r="C3" s="148"/>
      <c r="D3" s="150"/>
      <c r="E3" s="150"/>
      <c r="F3" s="150"/>
      <c r="G3" s="149"/>
      <c r="H3" s="151" t="s">
        <v>15</v>
      </c>
    </row>
    <row r="4" spans="1:10" ht="24.95" customHeight="1" x14ac:dyDescent="0.3">
      <c r="A4" s="251" t="s">
        <v>85</v>
      </c>
      <c r="B4" s="252"/>
      <c r="C4" s="253"/>
      <c r="D4" s="249" t="s">
        <v>291</v>
      </c>
      <c r="E4" s="250"/>
      <c r="F4" s="254" t="s">
        <v>9</v>
      </c>
      <c r="G4" s="255"/>
      <c r="H4" s="256" t="s">
        <v>98</v>
      </c>
    </row>
    <row r="5" spans="1:10" ht="24.95" customHeight="1" thickBot="1" x14ac:dyDescent="0.35">
      <c r="A5" s="152" t="s">
        <v>55</v>
      </c>
      <c r="B5" s="153" t="s">
        <v>59</v>
      </c>
      <c r="C5" s="153" t="s">
        <v>37</v>
      </c>
      <c r="D5" s="84" t="s">
        <v>289</v>
      </c>
      <c r="E5" s="84" t="s">
        <v>290</v>
      </c>
      <c r="F5" s="154" t="s">
        <v>44</v>
      </c>
      <c r="G5" s="154" t="s">
        <v>38</v>
      </c>
      <c r="H5" s="257"/>
    </row>
    <row r="6" spans="1:10" ht="27" customHeight="1" thickTop="1" x14ac:dyDescent="0.3">
      <c r="A6" s="258" t="s">
        <v>11</v>
      </c>
      <c r="B6" s="231"/>
      <c r="C6" s="231"/>
      <c r="D6" s="155">
        <f>D7+D25+D30+D57+D60</f>
        <v>1158876</v>
      </c>
      <c r="E6" s="155">
        <f>E7+E25+E30+E57+E60</f>
        <v>1158876</v>
      </c>
      <c r="F6" s="156"/>
      <c r="G6" s="157"/>
      <c r="H6" s="158" t="s">
        <v>297</v>
      </c>
      <c r="J6" s="208"/>
    </row>
    <row r="7" spans="1:10" ht="24.75" customHeight="1" x14ac:dyDescent="0.3">
      <c r="A7" s="117" t="s">
        <v>40</v>
      </c>
      <c r="B7" s="126"/>
      <c r="C7" s="126"/>
      <c r="D7" s="159">
        <f>D8+D14+D17</f>
        <v>789992</v>
      </c>
      <c r="E7" s="159">
        <f>E8+E14+E17</f>
        <v>789992</v>
      </c>
      <c r="F7" s="156"/>
      <c r="G7" s="160"/>
      <c r="H7" s="161"/>
    </row>
    <row r="8" spans="1:10" ht="24.75" customHeight="1" x14ac:dyDescent="0.3">
      <c r="A8" s="162"/>
      <c r="B8" s="163" t="s">
        <v>47</v>
      </c>
      <c r="C8" s="163"/>
      <c r="D8" s="159">
        <f>SUM(D9:D13)</f>
        <v>716053</v>
      </c>
      <c r="E8" s="159">
        <f>SUM(E9:E13)</f>
        <v>716053</v>
      </c>
      <c r="F8" s="156"/>
      <c r="G8" s="160"/>
      <c r="H8" s="161"/>
      <c r="I8" s="107"/>
    </row>
    <row r="9" spans="1:10" ht="48" customHeight="1" x14ac:dyDescent="0.3">
      <c r="A9" s="162"/>
      <c r="B9" s="163"/>
      <c r="C9" s="163" t="s">
        <v>89</v>
      </c>
      <c r="D9" s="164">
        <v>468720</v>
      </c>
      <c r="E9" s="164">
        <v>468720</v>
      </c>
      <c r="F9" s="156"/>
      <c r="G9" s="160"/>
      <c r="H9" s="223" t="s">
        <v>277</v>
      </c>
    </row>
    <row r="10" spans="1:10" ht="63" customHeight="1" x14ac:dyDescent="0.3">
      <c r="A10" s="162"/>
      <c r="B10" s="163"/>
      <c r="C10" s="163" t="s">
        <v>109</v>
      </c>
      <c r="D10" s="164">
        <v>133347</v>
      </c>
      <c r="E10" s="164">
        <v>133347</v>
      </c>
      <c r="F10" s="156"/>
      <c r="G10" s="160"/>
      <c r="H10" s="223" t="s">
        <v>278</v>
      </c>
    </row>
    <row r="11" spans="1:10" ht="35.25" customHeight="1" x14ac:dyDescent="0.3">
      <c r="A11" s="162"/>
      <c r="B11" s="163"/>
      <c r="C11" s="166" t="s">
        <v>4</v>
      </c>
      <c r="D11" s="164">
        <v>50172</v>
      </c>
      <c r="E11" s="164">
        <v>50172</v>
      </c>
      <c r="F11" s="156"/>
      <c r="G11" s="160"/>
      <c r="H11" s="223" t="s">
        <v>279</v>
      </c>
    </row>
    <row r="12" spans="1:10" ht="81.75" customHeight="1" x14ac:dyDescent="0.3">
      <c r="A12" s="162"/>
      <c r="B12" s="163"/>
      <c r="C12" s="166" t="s">
        <v>18</v>
      </c>
      <c r="D12" s="164">
        <v>61372</v>
      </c>
      <c r="E12" s="164">
        <v>61372</v>
      </c>
      <c r="F12" s="156"/>
      <c r="G12" s="160"/>
      <c r="H12" s="223" t="s">
        <v>280</v>
      </c>
    </row>
    <row r="13" spans="1:10" ht="84.75" customHeight="1" x14ac:dyDescent="0.3">
      <c r="A13" s="162"/>
      <c r="B13" s="163"/>
      <c r="C13" s="163" t="s">
        <v>94</v>
      </c>
      <c r="D13" s="167">
        <v>2442</v>
      </c>
      <c r="E13" s="167">
        <v>2442</v>
      </c>
      <c r="F13" s="156"/>
      <c r="G13" s="160"/>
      <c r="H13" s="223" t="s">
        <v>224</v>
      </c>
    </row>
    <row r="14" spans="1:10" ht="24.75" customHeight="1" x14ac:dyDescent="0.3">
      <c r="A14" s="162"/>
      <c r="B14" s="163" t="s">
        <v>106</v>
      </c>
      <c r="C14" s="163"/>
      <c r="D14" s="159">
        <f>SUM(D15:D16)</f>
        <v>3674</v>
      </c>
      <c r="E14" s="159">
        <f>SUM(E15:E16)</f>
        <v>3674</v>
      </c>
      <c r="F14" s="156"/>
      <c r="G14" s="160"/>
      <c r="H14" s="224"/>
    </row>
    <row r="15" spans="1:10" ht="52.5" customHeight="1" x14ac:dyDescent="0.3">
      <c r="A15" s="162"/>
      <c r="B15" s="168"/>
      <c r="C15" s="163" t="s">
        <v>119</v>
      </c>
      <c r="D15" s="165">
        <v>2914</v>
      </c>
      <c r="E15" s="165">
        <v>2914</v>
      </c>
      <c r="F15" s="156"/>
      <c r="G15" s="160"/>
      <c r="H15" s="223" t="s">
        <v>198</v>
      </c>
    </row>
    <row r="16" spans="1:10" ht="49.5" customHeight="1" x14ac:dyDescent="0.3">
      <c r="A16" s="162"/>
      <c r="B16" s="168"/>
      <c r="C16" s="163" t="s">
        <v>114</v>
      </c>
      <c r="D16" s="165">
        <v>760</v>
      </c>
      <c r="E16" s="165">
        <v>760</v>
      </c>
      <c r="F16" s="156"/>
      <c r="G16" s="160"/>
      <c r="H16" s="223" t="s">
        <v>199</v>
      </c>
    </row>
    <row r="17" spans="1:9" ht="29.25" customHeight="1" x14ac:dyDescent="0.3">
      <c r="A17" s="162"/>
      <c r="B17" s="163" t="s">
        <v>43</v>
      </c>
      <c r="C17" s="163"/>
      <c r="D17" s="159">
        <f>SUM(D18:D24)</f>
        <v>70265</v>
      </c>
      <c r="E17" s="159">
        <f>SUM(E18:E24)</f>
        <v>70265</v>
      </c>
      <c r="F17" s="156" t="e">
        <f>D17-#REF!</f>
        <v>#REF!</v>
      </c>
      <c r="G17" s="160"/>
      <c r="H17" s="224"/>
    </row>
    <row r="18" spans="1:9" ht="72" customHeight="1" x14ac:dyDescent="0.3">
      <c r="A18" s="162"/>
      <c r="B18" s="168"/>
      <c r="C18" s="163" t="s">
        <v>80</v>
      </c>
      <c r="D18" s="165">
        <v>3844</v>
      </c>
      <c r="E18" s="165">
        <v>3844</v>
      </c>
      <c r="F18" s="156"/>
      <c r="G18" s="160"/>
      <c r="H18" s="223" t="s">
        <v>225</v>
      </c>
    </row>
    <row r="19" spans="1:9" ht="188.25" customHeight="1" x14ac:dyDescent="0.3">
      <c r="A19" s="162"/>
      <c r="B19" s="168"/>
      <c r="C19" s="166" t="s">
        <v>25</v>
      </c>
      <c r="D19" s="165">
        <v>17840</v>
      </c>
      <c r="E19" s="165">
        <v>17840</v>
      </c>
      <c r="F19" s="156" t="e">
        <f>D19-#REF!</f>
        <v>#REF!</v>
      </c>
      <c r="G19" s="160"/>
      <c r="H19" s="223" t="s">
        <v>261</v>
      </c>
    </row>
    <row r="20" spans="1:9" ht="126" customHeight="1" x14ac:dyDescent="0.3">
      <c r="A20" s="162"/>
      <c r="B20" s="168"/>
      <c r="C20" s="163" t="s">
        <v>102</v>
      </c>
      <c r="D20" s="165">
        <v>22560</v>
      </c>
      <c r="E20" s="165">
        <v>22560</v>
      </c>
      <c r="F20" s="156"/>
      <c r="G20" s="160"/>
      <c r="H20" s="223" t="s">
        <v>298</v>
      </c>
    </row>
    <row r="21" spans="1:9" ht="153" customHeight="1" x14ac:dyDescent="0.3">
      <c r="A21" s="162"/>
      <c r="B21" s="168"/>
      <c r="C21" s="163" t="s">
        <v>104</v>
      </c>
      <c r="D21" s="165">
        <v>9770</v>
      </c>
      <c r="E21" s="165">
        <v>9770</v>
      </c>
      <c r="F21" s="156"/>
      <c r="G21" s="160"/>
      <c r="H21" s="223" t="s">
        <v>299</v>
      </c>
    </row>
    <row r="22" spans="1:9" ht="49.5" customHeight="1" x14ac:dyDescent="0.3">
      <c r="A22" s="162"/>
      <c r="B22" s="168"/>
      <c r="C22" s="163" t="s">
        <v>100</v>
      </c>
      <c r="D22" s="165">
        <v>13060</v>
      </c>
      <c r="E22" s="165">
        <v>13060</v>
      </c>
      <c r="F22" s="156"/>
      <c r="G22" s="160"/>
      <c r="H22" s="223" t="s">
        <v>232</v>
      </c>
    </row>
    <row r="23" spans="1:9" ht="43.5" customHeight="1" x14ac:dyDescent="0.3">
      <c r="A23" s="162"/>
      <c r="B23" s="168"/>
      <c r="C23" s="163" t="s">
        <v>234</v>
      </c>
      <c r="D23" s="165">
        <v>1700</v>
      </c>
      <c r="E23" s="165">
        <v>1700</v>
      </c>
      <c r="F23" s="156" t="e">
        <f>D23-#REF!</f>
        <v>#REF!</v>
      </c>
      <c r="G23" s="160"/>
      <c r="H23" s="223" t="s">
        <v>259</v>
      </c>
    </row>
    <row r="24" spans="1:9" ht="49.5" customHeight="1" x14ac:dyDescent="0.3">
      <c r="A24" s="162"/>
      <c r="B24" s="168"/>
      <c r="C24" s="163" t="s">
        <v>92</v>
      </c>
      <c r="D24" s="165">
        <v>1491</v>
      </c>
      <c r="E24" s="165">
        <v>1491</v>
      </c>
      <c r="F24" s="156" t="e">
        <f>D24-#REF!</f>
        <v>#REF!</v>
      </c>
      <c r="G24" s="160"/>
      <c r="H24" s="223" t="s">
        <v>300</v>
      </c>
    </row>
    <row r="25" spans="1:9" ht="24.75" customHeight="1" x14ac:dyDescent="0.3">
      <c r="A25" s="162" t="s">
        <v>112</v>
      </c>
      <c r="B25" s="163"/>
      <c r="C25" s="163"/>
      <c r="D25" s="159">
        <f>SUM(D27:D29)</f>
        <v>45060</v>
      </c>
      <c r="E25" s="159">
        <f>SUM(E27:E29)</f>
        <v>45060</v>
      </c>
      <c r="F25" s="156" t="e">
        <f>D25-#REF!</f>
        <v>#REF!</v>
      </c>
      <c r="G25" s="160"/>
      <c r="H25" s="224"/>
    </row>
    <row r="26" spans="1:9" ht="24.75" customHeight="1" x14ac:dyDescent="0.3">
      <c r="A26" s="162"/>
      <c r="B26" s="163" t="s">
        <v>36</v>
      </c>
      <c r="C26" s="163"/>
      <c r="D26" s="159">
        <f>D27+D28+D29</f>
        <v>45060</v>
      </c>
      <c r="E26" s="159">
        <f>E27+E28+E29</f>
        <v>45060</v>
      </c>
      <c r="F26" s="156" t="e">
        <f>D26-#REF!</f>
        <v>#REF!</v>
      </c>
      <c r="G26" s="160"/>
      <c r="H26" s="224"/>
    </row>
    <row r="27" spans="1:9" ht="26.25" customHeight="1" x14ac:dyDescent="0.3">
      <c r="A27" s="162"/>
      <c r="B27" s="163"/>
      <c r="C27" s="163" t="s">
        <v>36</v>
      </c>
      <c r="D27" s="165">
        <v>12100</v>
      </c>
      <c r="E27" s="165">
        <v>12100</v>
      </c>
      <c r="F27" s="156"/>
      <c r="G27" s="160" t="e">
        <f>#REF!-D27</f>
        <v>#REF!</v>
      </c>
      <c r="H27" s="223" t="s">
        <v>286</v>
      </c>
    </row>
    <row r="28" spans="1:9" ht="27" customHeight="1" x14ac:dyDescent="0.3">
      <c r="A28" s="162"/>
      <c r="B28" s="163"/>
      <c r="C28" s="163" t="s">
        <v>117</v>
      </c>
      <c r="D28" s="165">
        <v>11500</v>
      </c>
      <c r="E28" s="165">
        <v>11500</v>
      </c>
      <c r="F28" s="156" t="e">
        <f>D28-#REF!</f>
        <v>#REF!</v>
      </c>
      <c r="G28" s="160"/>
      <c r="H28" s="223" t="s">
        <v>287</v>
      </c>
    </row>
    <row r="29" spans="1:9" ht="90" customHeight="1" x14ac:dyDescent="0.3">
      <c r="A29" s="162"/>
      <c r="B29" s="163"/>
      <c r="C29" s="163" t="s">
        <v>101</v>
      </c>
      <c r="D29" s="165">
        <v>21460</v>
      </c>
      <c r="E29" s="165">
        <v>21460</v>
      </c>
      <c r="F29" s="156"/>
      <c r="G29" s="160"/>
      <c r="H29" s="223" t="s">
        <v>281</v>
      </c>
    </row>
    <row r="30" spans="1:9" ht="24.75" customHeight="1" x14ac:dyDescent="0.3">
      <c r="A30" s="162" t="s">
        <v>48</v>
      </c>
      <c r="B30" s="163"/>
      <c r="C30" s="163"/>
      <c r="D30" s="159">
        <f>D31+D38+D47</f>
        <v>304274</v>
      </c>
      <c r="E30" s="159">
        <f>E31+E38+E47</f>
        <v>304274</v>
      </c>
      <c r="F30" s="156" t="e">
        <f>D30-#REF!</f>
        <v>#REF!</v>
      </c>
      <c r="G30" s="160"/>
      <c r="H30" s="224"/>
    </row>
    <row r="31" spans="1:9" ht="24.75" customHeight="1" x14ac:dyDescent="0.3">
      <c r="A31" s="162"/>
      <c r="B31" s="163" t="s">
        <v>43</v>
      </c>
      <c r="C31" s="163"/>
      <c r="D31" s="159">
        <f>SUM(D32:D37)</f>
        <v>196612</v>
      </c>
      <c r="E31" s="159">
        <f>SUM(E32:E37)</f>
        <v>196612</v>
      </c>
      <c r="F31" s="156" t="e">
        <f>D31-#REF!</f>
        <v>#REF!</v>
      </c>
      <c r="G31" s="160"/>
      <c r="H31" s="224"/>
    </row>
    <row r="32" spans="1:9" ht="121.5" customHeight="1" x14ac:dyDescent="0.3">
      <c r="A32" s="162"/>
      <c r="B32" s="169"/>
      <c r="C32" s="166" t="s">
        <v>0</v>
      </c>
      <c r="D32" s="167">
        <v>117703</v>
      </c>
      <c r="E32" s="167">
        <v>117703</v>
      </c>
      <c r="F32" s="156" t="e">
        <f>D32-#REF!</f>
        <v>#REF!</v>
      </c>
      <c r="G32" s="170"/>
      <c r="H32" s="225" t="s">
        <v>301</v>
      </c>
      <c r="I32" s="107"/>
    </row>
    <row r="33" spans="1:253" ht="96" customHeight="1" x14ac:dyDescent="0.3">
      <c r="A33" s="162"/>
      <c r="B33" s="171"/>
      <c r="C33" s="166" t="s">
        <v>1</v>
      </c>
      <c r="D33" s="167">
        <v>47580</v>
      </c>
      <c r="E33" s="167">
        <v>47580</v>
      </c>
      <c r="F33" s="156" t="e">
        <f>D33-#REF!</f>
        <v>#REF!</v>
      </c>
      <c r="G33" s="160"/>
      <c r="H33" s="226" t="s">
        <v>302</v>
      </c>
    </row>
    <row r="34" spans="1:253" ht="50.25" customHeight="1" x14ac:dyDescent="0.3">
      <c r="A34" s="162"/>
      <c r="B34" s="169"/>
      <c r="C34" s="166" t="s">
        <v>111</v>
      </c>
      <c r="D34" s="167">
        <v>14546</v>
      </c>
      <c r="E34" s="167">
        <v>14546</v>
      </c>
      <c r="F34" s="156" t="e">
        <f>D34-#REF!</f>
        <v>#REF!</v>
      </c>
      <c r="G34" s="160"/>
      <c r="H34" s="225" t="s">
        <v>303</v>
      </c>
    </row>
    <row r="35" spans="1:253" ht="100.5" customHeight="1" x14ac:dyDescent="0.3">
      <c r="A35" s="162"/>
      <c r="B35" s="171"/>
      <c r="C35" s="163" t="s">
        <v>115</v>
      </c>
      <c r="D35" s="165">
        <v>4382</v>
      </c>
      <c r="E35" s="165">
        <v>4382</v>
      </c>
      <c r="F35" s="156" t="e">
        <f>D35-#REF!</f>
        <v>#REF!</v>
      </c>
      <c r="G35" s="160"/>
      <c r="H35" s="223" t="s">
        <v>233</v>
      </c>
    </row>
    <row r="36" spans="1:253" ht="92.25" customHeight="1" x14ac:dyDescent="0.3">
      <c r="A36" s="162"/>
      <c r="B36" s="171"/>
      <c r="C36" s="163" t="s">
        <v>82</v>
      </c>
      <c r="D36" s="165">
        <v>11883</v>
      </c>
      <c r="E36" s="165">
        <v>11883</v>
      </c>
      <c r="F36" s="156" t="e">
        <f>D36-#REF!</f>
        <v>#REF!</v>
      </c>
      <c r="G36" s="160"/>
      <c r="H36" s="227" t="s">
        <v>304</v>
      </c>
    </row>
    <row r="37" spans="1:253" ht="33.75" customHeight="1" x14ac:dyDescent="0.3">
      <c r="A37" s="162"/>
      <c r="B37" s="171"/>
      <c r="C37" s="163" t="s">
        <v>227</v>
      </c>
      <c r="D37" s="165">
        <v>518</v>
      </c>
      <c r="E37" s="165">
        <v>518</v>
      </c>
      <c r="F37" s="156"/>
      <c r="G37" s="160"/>
      <c r="H37" s="227" t="s">
        <v>228</v>
      </c>
    </row>
    <row r="38" spans="1:253" ht="24.75" customHeight="1" x14ac:dyDescent="0.3">
      <c r="A38" s="162"/>
      <c r="B38" s="172" t="s">
        <v>33</v>
      </c>
      <c r="C38" s="163"/>
      <c r="D38" s="173">
        <f>SUM(D39:D46)</f>
        <v>35173</v>
      </c>
      <c r="E38" s="173">
        <f>SUM(E39:E46)</f>
        <v>35173</v>
      </c>
      <c r="F38" s="156"/>
      <c r="G38" s="160" t="e">
        <f>#REF!-D38</f>
        <v>#REF!</v>
      </c>
      <c r="H38" s="224"/>
    </row>
    <row r="39" spans="1:253" ht="44.25" customHeight="1" x14ac:dyDescent="0.3">
      <c r="A39" s="162"/>
      <c r="B39" s="172"/>
      <c r="C39" s="163" t="s">
        <v>83</v>
      </c>
      <c r="D39" s="165">
        <v>1080</v>
      </c>
      <c r="E39" s="165">
        <v>1080</v>
      </c>
      <c r="F39" s="156"/>
      <c r="G39" s="160"/>
      <c r="H39" s="223" t="s">
        <v>206</v>
      </c>
    </row>
    <row r="40" spans="1:253" ht="96" customHeight="1" x14ac:dyDescent="0.3">
      <c r="A40" s="162"/>
      <c r="B40" s="172"/>
      <c r="C40" s="166" t="s">
        <v>283</v>
      </c>
      <c r="D40" s="165">
        <v>1850</v>
      </c>
      <c r="E40" s="165">
        <v>1850</v>
      </c>
      <c r="F40" s="156"/>
      <c r="G40" s="160" t="e">
        <f>#REF!-D40</f>
        <v>#REF!</v>
      </c>
      <c r="H40" s="223" t="s">
        <v>282</v>
      </c>
    </row>
    <row r="41" spans="1:253" ht="42.75" customHeight="1" x14ac:dyDescent="0.3">
      <c r="A41" s="162"/>
      <c r="B41" s="172"/>
      <c r="C41" s="163" t="s">
        <v>103</v>
      </c>
      <c r="D41" s="174">
        <v>13440</v>
      </c>
      <c r="E41" s="174">
        <v>13440</v>
      </c>
      <c r="F41" s="156"/>
      <c r="G41" s="160"/>
      <c r="H41" s="223" t="s">
        <v>305</v>
      </c>
    </row>
    <row r="42" spans="1:253" ht="62.25" customHeight="1" x14ac:dyDescent="0.3">
      <c r="A42" s="162"/>
      <c r="B42" s="172"/>
      <c r="C42" s="163" t="s">
        <v>90</v>
      </c>
      <c r="D42" s="165">
        <v>4140</v>
      </c>
      <c r="E42" s="165">
        <v>4140</v>
      </c>
      <c r="F42" s="156"/>
      <c r="G42" s="160" t="e">
        <f>#REF!-D42</f>
        <v>#REF!</v>
      </c>
      <c r="H42" s="223" t="s">
        <v>284</v>
      </c>
    </row>
    <row r="43" spans="1:253" ht="51.75" customHeight="1" x14ac:dyDescent="0.3">
      <c r="A43" s="162"/>
      <c r="B43" s="172"/>
      <c r="C43" s="163" t="s">
        <v>91</v>
      </c>
      <c r="D43" s="165">
        <v>1950</v>
      </c>
      <c r="E43" s="165">
        <v>1950</v>
      </c>
      <c r="F43" s="156"/>
      <c r="G43" s="160"/>
      <c r="H43" s="223" t="s">
        <v>226</v>
      </c>
    </row>
    <row r="44" spans="1:253" ht="33.75" customHeight="1" x14ac:dyDescent="0.3">
      <c r="A44" s="162"/>
      <c r="B44" s="172"/>
      <c r="C44" s="163" t="s">
        <v>162</v>
      </c>
      <c r="D44" s="165">
        <v>6600</v>
      </c>
      <c r="E44" s="165">
        <v>6600</v>
      </c>
      <c r="F44" s="156"/>
      <c r="G44" s="160"/>
      <c r="H44" s="223" t="s">
        <v>196</v>
      </c>
    </row>
    <row r="45" spans="1:253" ht="45" customHeight="1" x14ac:dyDescent="0.3">
      <c r="A45" s="162"/>
      <c r="B45" s="172"/>
      <c r="C45" s="163" t="s">
        <v>110</v>
      </c>
      <c r="D45" s="165">
        <v>5000</v>
      </c>
      <c r="E45" s="165">
        <v>5000</v>
      </c>
      <c r="F45" s="156" t="e">
        <f>D45-#REF!</f>
        <v>#REF!</v>
      </c>
      <c r="G45" s="160"/>
      <c r="H45" s="223" t="s">
        <v>260</v>
      </c>
    </row>
    <row r="46" spans="1:253" ht="30.75" customHeight="1" x14ac:dyDescent="0.3">
      <c r="A46" s="162"/>
      <c r="B46" s="172"/>
      <c r="C46" s="163" t="s">
        <v>118</v>
      </c>
      <c r="D46" s="165">
        <v>1113</v>
      </c>
      <c r="E46" s="165">
        <v>1113</v>
      </c>
      <c r="F46" s="156"/>
      <c r="G46" s="160"/>
      <c r="H46" s="223" t="s">
        <v>208</v>
      </c>
      <c r="IQ46" s="22"/>
      <c r="IR46" s="22"/>
      <c r="IS46" s="22"/>
    </row>
    <row r="47" spans="1:253" ht="24.75" customHeight="1" x14ac:dyDescent="0.3">
      <c r="A47" s="175"/>
      <c r="B47" s="171" t="s">
        <v>48</v>
      </c>
      <c r="C47" s="163" t="s">
        <v>46</v>
      </c>
      <c r="D47" s="173">
        <f>SUM(D48:D56)</f>
        <v>72489</v>
      </c>
      <c r="E47" s="173">
        <f>SUM(E48:E56)</f>
        <v>72489</v>
      </c>
      <c r="F47" s="156" t="e">
        <f>D47-#REF!</f>
        <v>#REF!</v>
      </c>
      <c r="G47" s="160"/>
      <c r="H47" s="223"/>
      <c r="IQ47" s="22"/>
      <c r="IR47" s="22"/>
      <c r="IS47" s="22"/>
    </row>
    <row r="48" spans="1:253" ht="54" customHeight="1" x14ac:dyDescent="0.3">
      <c r="A48" s="175"/>
      <c r="B48" s="176"/>
      <c r="C48" s="166" t="s">
        <v>8</v>
      </c>
      <c r="D48" s="165">
        <v>4096</v>
      </c>
      <c r="E48" s="165">
        <v>4096</v>
      </c>
      <c r="F48" s="156"/>
      <c r="G48" s="177"/>
      <c r="H48" s="223" t="s">
        <v>216</v>
      </c>
      <c r="J48" s="107"/>
      <c r="IQ48" s="22"/>
      <c r="IR48" s="22"/>
      <c r="IS48" s="22"/>
    </row>
    <row r="49" spans="1:253" ht="36" customHeight="1" x14ac:dyDescent="0.3">
      <c r="A49" s="175"/>
      <c r="B49" s="178"/>
      <c r="C49" s="166" t="s">
        <v>7</v>
      </c>
      <c r="D49" s="165">
        <v>5040</v>
      </c>
      <c r="E49" s="165">
        <v>5040</v>
      </c>
      <c r="F49" s="156"/>
      <c r="G49" s="160"/>
      <c r="H49" s="223" t="s">
        <v>197</v>
      </c>
      <c r="J49" s="107"/>
      <c r="IQ49" s="22"/>
      <c r="IR49" s="22"/>
      <c r="IS49" s="22"/>
    </row>
    <row r="50" spans="1:253" ht="42.75" customHeight="1" x14ac:dyDescent="0.3">
      <c r="A50" s="175"/>
      <c r="B50" s="178"/>
      <c r="C50" s="166" t="s">
        <v>169</v>
      </c>
      <c r="D50" s="165">
        <v>1141</v>
      </c>
      <c r="E50" s="165">
        <v>1141</v>
      </c>
      <c r="F50" s="156"/>
      <c r="G50" s="160"/>
      <c r="H50" s="223" t="s">
        <v>215</v>
      </c>
      <c r="J50" s="107"/>
      <c r="IQ50" s="22"/>
      <c r="IR50" s="22"/>
      <c r="IS50" s="22"/>
    </row>
    <row r="51" spans="1:253" ht="46.5" customHeight="1" x14ac:dyDescent="0.3">
      <c r="A51" s="175"/>
      <c r="B51" s="176"/>
      <c r="C51" s="166" t="s">
        <v>5</v>
      </c>
      <c r="D51" s="165">
        <v>1366</v>
      </c>
      <c r="E51" s="165">
        <v>1366</v>
      </c>
      <c r="F51" s="156"/>
      <c r="G51" s="160"/>
      <c r="H51" s="223" t="s">
        <v>180</v>
      </c>
      <c r="J51" s="107"/>
      <c r="IQ51" s="22"/>
      <c r="IR51" s="22"/>
      <c r="IS51" s="22"/>
    </row>
    <row r="52" spans="1:253" ht="36" customHeight="1" x14ac:dyDescent="0.3">
      <c r="A52" s="175"/>
      <c r="B52" s="176"/>
      <c r="C52" s="166" t="s">
        <v>13</v>
      </c>
      <c r="D52" s="165">
        <v>1200</v>
      </c>
      <c r="E52" s="165">
        <v>1200</v>
      </c>
      <c r="F52" s="156"/>
      <c r="G52" s="160"/>
      <c r="H52" s="223" t="s">
        <v>207</v>
      </c>
      <c r="J52" s="107"/>
      <c r="IQ52" s="22"/>
      <c r="IR52" s="22"/>
      <c r="IS52" s="22"/>
    </row>
    <row r="53" spans="1:253" ht="36" customHeight="1" x14ac:dyDescent="0.3">
      <c r="A53" s="175"/>
      <c r="B53" s="176"/>
      <c r="C53" s="166" t="s">
        <v>6</v>
      </c>
      <c r="D53" s="165">
        <v>500</v>
      </c>
      <c r="E53" s="165">
        <v>500</v>
      </c>
      <c r="F53" s="156"/>
      <c r="G53" s="160"/>
      <c r="H53" s="223" t="s">
        <v>2</v>
      </c>
      <c r="J53" s="107"/>
      <c r="IQ53" s="22"/>
      <c r="IR53" s="22"/>
      <c r="IS53" s="22"/>
    </row>
    <row r="54" spans="1:253" ht="36" customHeight="1" x14ac:dyDescent="0.3">
      <c r="A54" s="175"/>
      <c r="B54" s="176"/>
      <c r="C54" s="166" t="s">
        <v>17</v>
      </c>
      <c r="D54" s="165">
        <v>55000</v>
      </c>
      <c r="E54" s="165">
        <v>55000</v>
      </c>
      <c r="F54" s="156" t="e">
        <f>D54-#REF!</f>
        <v>#REF!</v>
      </c>
      <c r="G54" s="160"/>
      <c r="H54" s="226" t="s">
        <v>285</v>
      </c>
      <c r="J54" s="107"/>
      <c r="IQ54" s="22"/>
      <c r="IR54" s="22"/>
      <c r="IS54" s="22"/>
    </row>
    <row r="55" spans="1:253" ht="42.75" customHeight="1" x14ac:dyDescent="0.3">
      <c r="A55" s="175"/>
      <c r="B55" s="178"/>
      <c r="C55" s="166" t="s">
        <v>95</v>
      </c>
      <c r="D55" s="165">
        <v>600</v>
      </c>
      <c r="E55" s="165">
        <v>600</v>
      </c>
      <c r="F55" s="156"/>
      <c r="G55" s="160"/>
      <c r="H55" s="226" t="s">
        <v>179</v>
      </c>
      <c r="J55" s="107"/>
      <c r="IQ55" s="22"/>
      <c r="IR55" s="22"/>
      <c r="IS55" s="22"/>
    </row>
    <row r="56" spans="1:253" ht="69.75" customHeight="1" x14ac:dyDescent="0.3">
      <c r="A56" s="175"/>
      <c r="B56" s="176"/>
      <c r="C56" s="166" t="s">
        <v>120</v>
      </c>
      <c r="D56" s="165">
        <v>3546</v>
      </c>
      <c r="E56" s="165">
        <v>3546</v>
      </c>
      <c r="F56" s="156"/>
      <c r="G56" s="160"/>
      <c r="H56" s="226" t="s">
        <v>306</v>
      </c>
      <c r="J56" s="107"/>
      <c r="IQ56" s="22"/>
      <c r="IR56" s="22"/>
      <c r="IS56" s="22"/>
    </row>
    <row r="57" spans="1:253" ht="24.75" customHeight="1" x14ac:dyDescent="0.3">
      <c r="A57" s="162" t="s">
        <v>34</v>
      </c>
      <c r="B57" s="163"/>
      <c r="C57" s="163"/>
      <c r="D57" s="173">
        <f>D58</f>
        <v>1000</v>
      </c>
      <c r="E57" s="173">
        <f>E58</f>
        <v>1000</v>
      </c>
      <c r="F57" s="156"/>
      <c r="G57" s="160"/>
      <c r="H57" s="224"/>
    </row>
    <row r="58" spans="1:253" ht="24.75" customHeight="1" x14ac:dyDescent="0.3">
      <c r="A58" s="247"/>
      <c r="B58" s="163" t="s">
        <v>34</v>
      </c>
      <c r="C58" s="163"/>
      <c r="D58" s="173">
        <f>D59</f>
        <v>1000</v>
      </c>
      <c r="E58" s="173">
        <f>E59</f>
        <v>1000</v>
      </c>
      <c r="F58" s="156"/>
      <c r="G58" s="160"/>
      <c r="H58" s="224"/>
    </row>
    <row r="59" spans="1:253" ht="24.75" customHeight="1" x14ac:dyDescent="0.3">
      <c r="A59" s="247"/>
      <c r="B59" s="163"/>
      <c r="C59" s="163" t="s">
        <v>34</v>
      </c>
      <c r="D59" s="165">
        <v>1000</v>
      </c>
      <c r="E59" s="165">
        <v>1000</v>
      </c>
      <c r="F59" s="156"/>
      <c r="G59" s="160"/>
      <c r="H59" s="224" t="s">
        <v>93</v>
      </c>
    </row>
    <row r="60" spans="1:253" ht="24.75" customHeight="1" x14ac:dyDescent="0.3">
      <c r="A60" s="162" t="s">
        <v>45</v>
      </c>
      <c r="B60" s="163"/>
      <c r="C60" s="163"/>
      <c r="D60" s="173">
        <f t="shared" ref="D60:E61" si="0">D61</f>
        <v>18550</v>
      </c>
      <c r="E60" s="173">
        <f t="shared" si="0"/>
        <v>18550</v>
      </c>
      <c r="F60" s="156"/>
      <c r="G60" s="160"/>
      <c r="H60" s="224"/>
    </row>
    <row r="61" spans="1:253" ht="24.75" customHeight="1" x14ac:dyDescent="0.3">
      <c r="A61" s="247"/>
      <c r="B61" s="163" t="s">
        <v>45</v>
      </c>
      <c r="C61" s="163"/>
      <c r="D61" s="173">
        <f t="shared" si="0"/>
        <v>18550</v>
      </c>
      <c r="E61" s="173">
        <f t="shared" si="0"/>
        <v>18550</v>
      </c>
      <c r="F61" s="156"/>
      <c r="G61" s="160"/>
      <c r="H61" s="224"/>
    </row>
    <row r="62" spans="1:253" ht="24.75" customHeight="1" thickBot="1" x14ac:dyDescent="0.35">
      <c r="A62" s="248"/>
      <c r="B62" s="179"/>
      <c r="C62" s="179" t="s">
        <v>195</v>
      </c>
      <c r="D62" s="180">
        <v>18550</v>
      </c>
      <c r="E62" s="180">
        <v>18550</v>
      </c>
      <c r="F62" s="188"/>
      <c r="G62" s="181"/>
      <c r="H62" s="228"/>
    </row>
    <row r="63" spans="1:253" ht="26.25" customHeight="1" x14ac:dyDescent="0.3">
      <c r="A63" s="104"/>
      <c r="B63" s="105"/>
      <c r="C63" s="105"/>
      <c r="D63" s="104"/>
      <c r="E63" s="104"/>
      <c r="F63" s="104"/>
      <c r="G63" s="104"/>
      <c r="H63" s="106"/>
    </row>
    <row r="64" spans="1:253" x14ac:dyDescent="0.3">
      <c r="A64" s="104"/>
      <c r="B64" s="105"/>
      <c r="C64" s="105"/>
      <c r="D64" s="104"/>
      <c r="E64" s="104"/>
      <c r="F64" s="104"/>
      <c r="G64" s="104"/>
      <c r="H64" s="106"/>
    </row>
  </sheetData>
  <mergeCells count="8">
    <mergeCell ref="A58:A59"/>
    <mergeCell ref="A61:A62"/>
    <mergeCell ref="A1:H1"/>
    <mergeCell ref="D4:E4"/>
    <mergeCell ref="A4:C4"/>
    <mergeCell ref="F4:G4"/>
    <mergeCell ref="H4:H5"/>
    <mergeCell ref="A6:C6"/>
  </mergeCells>
  <phoneticPr fontId="18" type="noConversion"/>
  <printOptions horizontalCentered="1"/>
  <pageMargins left="0.70866141732283472" right="0.39370078740157483" top="0.74803149606299213" bottom="0.47244094488188981" header="0.31496062992125984" footer="0.31496062992125984"/>
  <pageSetup paperSize="9" scale="81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U21"/>
  <sheetViews>
    <sheetView zoomScaleNormal="100" workbookViewId="0">
      <pane xSplit="3" ySplit="5" topLeftCell="D6" activePane="bottomRight" state="frozen"/>
      <selection pane="topRight"/>
      <selection pane="bottomLeft"/>
      <selection pane="bottomRight" activeCell="A6" sqref="A6"/>
    </sheetView>
  </sheetViews>
  <sheetFormatPr defaultColWidth="8.875" defaultRowHeight="16.5" x14ac:dyDescent="0.3"/>
  <cols>
    <col min="1" max="1" width="6" style="3" customWidth="1"/>
    <col min="2" max="3" width="17.375" style="3" customWidth="1"/>
    <col min="4" max="4" width="6.5" style="3" customWidth="1"/>
    <col min="5" max="5" width="19.375" bestFit="1" customWidth="1"/>
    <col min="6" max="6" width="15.75" bestFit="1" customWidth="1"/>
    <col min="7" max="7" width="15.125" bestFit="1" customWidth="1"/>
    <col min="8" max="8" width="7.75" style="6" customWidth="1"/>
    <col min="9" max="9" width="16" customWidth="1"/>
    <col min="10" max="10" width="13.25" bestFit="1" customWidth="1"/>
    <col min="11" max="11" width="15.25" customWidth="1"/>
    <col min="12" max="12" width="15.25" hidden="1" customWidth="1"/>
    <col min="13" max="13" width="14.25" hidden="1" customWidth="1"/>
    <col min="14" max="14" width="12.625" hidden="1" customWidth="1"/>
    <col min="15" max="15" width="14.375" hidden="1" customWidth="1"/>
    <col min="16" max="16" width="13" hidden="1" customWidth="1"/>
    <col min="17" max="17" width="12.625" hidden="1" customWidth="1"/>
    <col min="18" max="18" width="15.625" hidden="1" customWidth="1"/>
    <col min="19" max="19" width="15.75" hidden="1" customWidth="1"/>
    <col min="20" max="20" width="16.625" hidden="1" customWidth="1"/>
    <col min="21" max="21" width="19.375" hidden="1" customWidth="1"/>
    <col min="248" max="248" width="6" customWidth="1"/>
    <col min="249" max="249" width="10" customWidth="1"/>
    <col min="250" max="250" width="17.375" customWidth="1"/>
    <col min="251" max="251" width="6.375" customWidth="1"/>
    <col min="252" max="252" width="6.5" customWidth="1"/>
    <col min="253" max="253" width="6.25" customWidth="1"/>
    <col min="254" max="255" width="17.625" customWidth="1"/>
    <col min="256" max="256" width="17.375" customWidth="1"/>
    <col min="257" max="258" width="16.125" customWidth="1"/>
    <col min="259" max="259" width="13.5" customWidth="1"/>
    <col min="260" max="260" width="15.125" customWidth="1"/>
    <col min="261" max="261" width="7.75" customWidth="1"/>
    <col min="262" max="262" width="16.125" customWidth="1"/>
    <col min="263" max="263" width="16" customWidth="1"/>
    <col min="264" max="264" width="14.25" customWidth="1"/>
    <col min="265" max="265" width="15.5" customWidth="1"/>
    <col min="266" max="266" width="16" customWidth="1"/>
    <col min="267" max="268" width="15.25" customWidth="1"/>
    <col min="269" max="277" width="0" hidden="1" customWidth="1"/>
    <col min="504" max="504" width="6" customWidth="1"/>
    <col min="505" max="505" width="10" customWidth="1"/>
    <col min="506" max="506" width="17.375" customWidth="1"/>
    <col min="507" max="507" width="6.375" customWidth="1"/>
    <col min="508" max="508" width="6.5" customWidth="1"/>
    <col min="509" max="509" width="6.25" customWidth="1"/>
    <col min="510" max="511" width="17.625" customWidth="1"/>
    <col min="512" max="512" width="17.375" customWidth="1"/>
    <col min="513" max="514" width="16.125" customWidth="1"/>
    <col min="515" max="515" width="13.5" customWidth="1"/>
    <col min="516" max="516" width="15.125" customWidth="1"/>
    <col min="517" max="517" width="7.75" customWidth="1"/>
    <col min="518" max="518" width="16.125" customWidth="1"/>
    <col min="519" max="519" width="16" customWidth="1"/>
    <col min="520" max="520" width="14.25" customWidth="1"/>
    <col min="521" max="521" width="15.5" customWidth="1"/>
    <col min="522" max="522" width="16" customWidth="1"/>
    <col min="523" max="524" width="15.25" customWidth="1"/>
    <col min="525" max="533" width="0" hidden="1" customWidth="1"/>
    <col min="760" max="760" width="6" customWidth="1"/>
    <col min="761" max="761" width="10" customWidth="1"/>
    <col min="762" max="762" width="17.375" customWidth="1"/>
    <col min="763" max="763" width="6.375" customWidth="1"/>
    <col min="764" max="764" width="6.5" customWidth="1"/>
    <col min="765" max="765" width="6.25" customWidth="1"/>
    <col min="766" max="767" width="17.625" customWidth="1"/>
    <col min="768" max="768" width="17.375" customWidth="1"/>
    <col min="769" max="770" width="16.125" customWidth="1"/>
    <col min="771" max="771" width="13.5" customWidth="1"/>
    <col min="772" max="772" width="15.125" customWidth="1"/>
    <col min="773" max="773" width="7.75" customWidth="1"/>
    <col min="774" max="774" width="16.125" customWidth="1"/>
    <col min="775" max="775" width="16" customWidth="1"/>
    <col min="776" max="776" width="14.25" customWidth="1"/>
    <col min="777" max="777" width="15.5" customWidth="1"/>
    <col min="778" max="778" width="16" customWidth="1"/>
    <col min="779" max="780" width="15.25" customWidth="1"/>
    <col min="781" max="789" width="0" hidden="1" customWidth="1"/>
    <col min="1016" max="1016" width="6" customWidth="1"/>
    <col min="1017" max="1017" width="10" customWidth="1"/>
    <col min="1018" max="1018" width="17.375" customWidth="1"/>
    <col min="1019" max="1019" width="6.375" customWidth="1"/>
    <col min="1020" max="1020" width="6.5" customWidth="1"/>
    <col min="1021" max="1021" width="6.25" customWidth="1"/>
    <col min="1022" max="1023" width="17.625" customWidth="1"/>
    <col min="1024" max="1024" width="17.375" customWidth="1"/>
    <col min="1025" max="1026" width="16.125" customWidth="1"/>
    <col min="1027" max="1027" width="13.5" customWidth="1"/>
    <col min="1028" max="1028" width="15.125" customWidth="1"/>
    <col min="1029" max="1029" width="7.75" customWidth="1"/>
    <col min="1030" max="1030" width="16.125" customWidth="1"/>
    <col min="1031" max="1031" width="16" customWidth="1"/>
    <col min="1032" max="1032" width="14.25" customWidth="1"/>
    <col min="1033" max="1033" width="15.5" customWidth="1"/>
    <col min="1034" max="1034" width="16" customWidth="1"/>
    <col min="1035" max="1036" width="15.25" customWidth="1"/>
    <col min="1037" max="1045" width="0" hidden="1" customWidth="1"/>
    <col min="1272" max="1272" width="6" customWidth="1"/>
    <col min="1273" max="1273" width="10" customWidth="1"/>
    <col min="1274" max="1274" width="17.375" customWidth="1"/>
    <col min="1275" max="1275" width="6.375" customWidth="1"/>
    <col min="1276" max="1276" width="6.5" customWidth="1"/>
    <col min="1277" max="1277" width="6.25" customWidth="1"/>
    <col min="1278" max="1279" width="17.625" customWidth="1"/>
    <col min="1280" max="1280" width="17.375" customWidth="1"/>
    <col min="1281" max="1282" width="16.125" customWidth="1"/>
    <col min="1283" max="1283" width="13.5" customWidth="1"/>
    <col min="1284" max="1284" width="15.125" customWidth="1"/>
    <col min="1285" max="1285" width="7.75" customWidth="1"/>
    <col min="1286" max="1286" width="16.125" customWidth="1"/>
    <col min="1287" max="1287" width="16" customWidth="1"/>
    <col min="1288" max="1288" width="14.25" customWidth="1"/>
    <col min="1289" max="1289" width="15.5" customWidth="1"/>
    <col min="1290" max="1290" width="16" customWidth="1"/>
    <col min="1291" max="1292" width="15.25" customWidth="1"/>
    <col min="1293" max="1301" width="0" hidden="1" customWidth="1"/>
    <col min="1528" max="1528" width="6" customWidth="1"/>
    <col min="1529" max="1529" width="10" customWidth="1"/>
    <col min="1530" max="1530" width="17.375" customWidth="1"/>
    <col min="1531" max="1531" width="6.375" customWidth="1"/>
    <col min="1532" max="1532" width="6.5" customWidth="1"/>
    <col min="1533" max="1533" width="6.25" customWidth="1"/>
    <col min="1534" max="1535" width="17.625" customWidth="1"/>
    <col min="1536" max="1536" width="17.375" customWidth="1"/>
    <col min="1537" max="1538" width="16.125" customWidth="1"/>
    <col min="1539" max="1539" width="13.5" customWidth="1"/>
    <col min="1540" max="1540" width="15.125" customWidth="1"/>
    <col min="1541" max="1541" width="7.75" customWidth="1"/>
    <col min="1542" max="1542" width="16.125" customWidth="1"/>
    <col min="1543" max="1543" width="16" customWidth="1"/>
    <col min="1544" max="1544" width="14.25" customWidth="1"/>
    <col min="1545" max="1545" width="15.5" customWidth="1"/>
    <col min="1546" max="1546" width="16" customWidth="1"/>
    <col min="1547" max="1548" width="15.25" customWidth="1"/>
    <col min="1549" max="1557" width="0" hidden="1" customWidth="1"/>
    <col min="1784" max="1784" width="6" customWidth="1"/>
    <col min="1785" max="1785" width="10" customWidth="1"/>
    <col min="1786" max="1786" width="17.375" customWidth="1"/>
    <col min="1787" max="1787" width="6.375" customWidth="1"/>
    <col min="1788" max="1788" width="6.5" customWidth="1"/>
    <col min="1789" max="1789" width="6.25" customWidth="1"/>
    <col min="1790" max="1791" width="17.625" customWidth="1"/>
    <col min="1792" max="1792" width="17.375" customWidth="1"/>
    <col min="1793" max="1794" width="16.125" customWidth="1"/>
    <col min="1795" max="1795" width="13.5" customWidth="1"/>
    <col min="1796" max="1796" width="15.125" customWidth="1"/>
    <col min="1797" max="1797" width="7.75" customWidth="1"/>
    <col min="1798" max="1798" width="16.125" customWidth="1"/>
    <col min="1799" max="1799" width="16" customWidth="1"/>
    <col min="1800" max="1800" width="14.25" customWidth="1"/>
    <col min="1801" max="1801" width="15.5" customWidth="1"/>
    <col min="1802" max="1802" width="16" customWidth="1"/>
    <col min="1803" max="1804" width="15.25" customWidth="1"/>
    <col min="1805" max="1813" width="0" hidden="1" customWidth="1"/>
    <col min="2040" max="2040" width="6" customWidth="1"/>
    <col min="2041" max="2041" width="10" customWidth="1"/>
    <col min="2042" max="2042" width="17.375" customWidth="1"/>
    <col min="2043" max="2043" width="6.375" customWidth="1"/>
    <col min="2044" max="2044" width="6.5" customWidth="1"/>
    <col min="2045" max="2045" width="6.25" customWidth="1"/>
    <col min="2046" max="2047" width="17.625" customWidth="1"/>
    <col min="2048" max="2048" width="17.375" customWidth="1"/>
    <col min="2049" max="2050" width="16.125" customWidth="1"/>
    <col min="2051" max="2051" width="13.5" customWidth="1"/>
    <col min="2052" max="2052" width="15.125" customWidth="1"/>
    <col min="2053" max="2053" width="7.75" customWidth="1"/>
    <col min="2054" max="2054" width="16.125" customWidth="1"/>
    <col min="2055" max="2055" width="16" customWidth="1"/>
    <col min="2056" max="2056" width="14.25" customWidth="1"/>
    <col min="2057" max="2057" width="15.5" customWidth="1"/>
    <col min="2058" max="2058" width="16" customWidth="1"/>
    <col min="2059" max="2060" width="15.25" customWidth="1"/>
    <col min="2061" max="2069" width="0" hidden="1" customWidth="1"/>
    <col min="2296" max="2296" width="6" customWidth="1"/>
    <col min="2297" max="2297" width="10" customWidth="1"/>
    <col min="2298" max="2298" width="17.375" customWidth="1"/>
    <col min="2299" max="2299" width="6.375" customWidth="1"/>
    <col min="2300" max="2300" width="6.5" customWidth="1"/>
    <col min="2301" max="2301" width="6.25" customWidth="1"/>
    <col min="2302" max="2303" width="17.625" customWidth="1"/>
    <col min="2304" max="2304" width="17.375" customWidth="1"/>
    <col min="2305" max="2306" width="16.125" customWidth="1"/>
    <col min="2307" max="2307" width="13.5" customWidth="1"/>
    <col min="2308" max="2308" width="15.125" customWidth="1"/>
    <col min="2309" max="2309" width="7.75" customWidth="1"/>
    <col min="2310" max="2310" width="16.125" customWidth="1"/>
    <col min="2311" max="2311" width="16" customWidth="1"/>
    <col min="2312" max="2312" width="14.25" customWidth="1"/>
    <col min="2313" max="2313" width="15.5" customWidth="1"/>
    <col min="2314" max="2314" width="16" customWidth="1"/>
    <col min="2315" max="2316" width="15.25" customWidth="1"/>
    <col min="2317" max="2325" width="0" hidden="1" customWidth="1"/>
    <col min="2552" max="2552" width="6" customWidth="1"/>
    <col min="2553" max="2553" width="10" customWidth="1"/>
    <col min="2554" max="2554" width="17.375" customWidth="1"/>
    <col min="2555" max="2555" width="6.375" customWidth="1"/>
    <col min="2556" max="2556" width="6.5" customWidth="1"/>
    <col min="2557" max="2557" width="6.25" customWidth="1"/>
    <col min="2558" max="2559" width="17.625" customWidth="1"/>
    <col min="2560" max="2560" width="17.375" customWidth="1"/>
    <col min="2561" max="2562" width="16.125" customWidth="1"/>
    <col min="2563" max="2563" width="13.5" customWidth="1"/>
    <col min="2564" max="2564" width="15.125" customWidth="1"/>
    <col min="2565" max="2565" width="7.75" customWidth="1"/>
    <col min="2566" max="2566" width="16.125" customWidth="1"/>
    <col min="2567" max="2567" width="16" customWidth="1"/>
    <col min="2568" max="2568" width="14.25" customWidth="1"/>
    <col min="2569" max="2569" width="15.5" customWidth="1"/>
    <col min="2570" max="2570" width="16" customWidth="1"/>
    <col min="2571" max="2572" width="15.25" customWidth="1"/>
    <col min="2573" max="2581" width="0" hidden="1" customWidth="1"/>
    <col min="2808" max="2808" width="6" customWidth="1"/>
    <col min="2809" max="2809" width="10" customWidth="1"/>
    <col min="2810" max="2810" width="17.375" customWidth="1"/>
    <col min="2811" max="2811" width="6.375" customWidth="1"/>
    <col min="2812" max="2812" width="6.5" customWidth="1"/>
    <col min="2813" max="2813" width="6.25" customWidth="1"/>
    <col min="2814" max="2815" width="17.625" customWidth="1"/>
    <col min="2816" max="2816" width="17.375" customWidth="1"/>
    <col min="2817" max="2818" width="16.125" customWidth="1"/>
    <col min="2819" max="2819" width="13.5" customWidth="1"/>
    <col min="2820" max="2820" width="15.125" customWidth="1"/>
    <col min="2821" max="2821" width="7.75" customWidth="1"/>
    <col min="2822" max="2822" width="16.125" customWidth="1"/>
    <col min="2823" max="2823" width="16" customWidth="1"/>
    <col min="2824" max="2824" width="14.25" customWidth="1"/>
    <col min="2825" max="2825" width="15.5" customWidth="1"/>
    <col min="2826" max="2826" width="16" customWidth="1"/>
    <col min="2827" max="2828" width="15.25" customWidth="1"/>
    <col min="2829" max="2837" width="0" hidden="1" customWidth="1"/>
    <col min="3064" max="3064" width="6" customWidth="1"/>
    <col min="3065" max="3065" width="10" customWidth="1"/>
    <col min="3066" max="3066" width="17.375" customWidth="1"/>
    <col min="3067" max="3067" width="6.375" customWidth="1"/>
    <col min="3068" max="3068" width="6.5" customWidth="1"/>
    <col min="3069" max="3069" width="6.25" customWidth="1"/>
    <col min="3070" max="3071" width="17.625" customWidth="1"/>
    <col min="3072" max="3072" width="17.375" customWidth="1"/>
    <col min="3073" max="3074" width="16.125" customWidth="1"/>
    <col min="3075" max="3075" width="13.5" customWidth="1"/>
    <col min="3076" max="3076" width="15.125" customWidth="1"/>
    <col min="3077" max="3077" width="7.75" customWidth="1"/>
    <col min="3078" max="3078" width="16.125" customWidth="1"/>
    <col min="3079" max="3079" width="16" customWidth="1"/>
    <col min="3080" max="3080" width="14.25" customWidth="1"/>
    <col min="3081" max="3081" width="15.5" customWidth="1"/>
    <col min="3082" max="3082" width="16" customWidth="1"/>
    <col min="3083" max="3084" width="15.25" customWidth="1"/>
    <col min="3085" max="3093" width="0" hidden="1" customWidth="1"/>
    <col min="3320" max="3320" width="6" customWidth="1"/>
    <col min="3321" max="3321" width="10" customWidth="1"/>
    <col min="3322" max="3322" width="17.375" customWidth="1"/>
    <col min="3323" max="3323" width="6.375" customWidth="1"/>
    <col min="3324" max="3324" width="6.5" customWidth="1"/>
    <col min="3325" max="3325" width="6.25" customWidth="1"/>
    <col min="3326" max="3327" width="17.625" customWidth="1"/>
    <col min="3328" max="3328" width="17.375" customWidth="1"/>
    <col min="3329" max="3330" width="16.125" customWidth="1"/>
    <col min="3331" max="3331" width="13.5" customWidth="1"/>
    <col min="3332" max="3332" width="15.125" customWidth="1"/>
    <col min="3333" max="3333" width="7.75" customWidth="1"/>
    <col min="3334" max="3334" width="16.125" customWidth="1"/>
    <col min="3335" max="3335" width="16" customWidth="1"/>
    <col min="3336" max="3336" width="14.25" customWidth="1"/>
    <col min="3337" max="3337" width="15.5" customWidth="1"/>
    <col min="3338" max="3338" width="16" customWidth="1"/>
    <col min="3339" max="3340" width="15.25" customWidth="1"/>
    <col min="3341" max="3349" width="0" hidden="1" customWidth="1"/>
    <col min="3576" max="3576" width="6" customWidth="1"/>
    <col min="3577" max="3577" width="10" customWidth="1"/>
    <col min="3578" max="3578" width="17.375" customWidth="1"/>
    <col min="3579" max="3579" width="6.375" customWidth="1"/>
    <col min="3580" max="3580" width="6.5" customWidth="1"/>
    <col min="3581" max="3581" width="6.25" customWidth="1"/>
    <col min="3582" max="3583" width="17.625" customWidth="1"/>
    <col min="3584" max="3584" width="17.375" customWidth="1"/>
    <col min="3585" max="3586" width="16.125" customWidth="1"/>
    <col min="3587" max="3587" width="13.5" customWidth="1"/>
    <col min="3588" max="3588" width="15.125" customWidth="1"/>
    <col min="3589" max="3589" width="7.75" customWidth="1"/>
    <col min="3590" max="3590" width="16.125" customWidth="1"/>
    <col min="3591" max="3591" width="16" customWidth="1"/>
    <col min="3592" max="3592" width="14.25" customWidth="1"/>
    <col min="3593" max="3593" width="15.5" customWidth="1"/>
    <col min="3594" max="3594" width="16" customWidth="1"/>
    <col min="3595" max="3596" width="15.25" customWidth="1"/>
    <col min="3597" max="3605" width="0" hidden="1" customWidth="1"/>
    <col min="3832" max="3832" width="6" customWidth="1"/>
    <col min="3833" max="3833" width="10" customWidth="1"/>
    <col min="3834" max="3834" width="17.375" customWidth="1"/>
    <col min="3835" max="3835" width="6.375" customWidth="1"/>
    <col min="3836" max="3836" width="6.5" customWidth="1"/>
    <col min="3837" max="3837" width="6.25" customWidth="1"/>
    <col min="3838" max="3839" width="17.625" customWidth="1"/>
    <col min="3840" max="3840" width="17.375" customWidth="1"/>
    <col min="3841" max="3842" width="16.125" customWidth="1"/>
    <col min="3843" max="3843" width="13.5" customWidth="1"/>
    <col min="3844" max="3844" width="15.125" customWidth="1"/>
    <col min="3845" max="3845" width="7.75" customWidth="1"/>
    <col min="3846" max="3846" width="16.125" customWidth="1"/>
    <col min="3847" max="3847" width="16" customWidth="1"/>
    <col min="3848" max="3848" width="14.25" customWidth="1"/>
    <col min="3849" max="3849" width="15.5" customWidth="1"/>
    <col min="3850" max="3850" width="16" customWidth="1"/>
    <col min="3851" max="3852" width="15.25" customWidth="1"/>
    <col min="3853" max="3861" width="0" hidden="1" customWidth="1"/>
    <col min="4088" max="4088" width="6" customWidth="1"/>
    <col min="4089" max="4089" width="10" customWidth="1"/>
    <col min="4090" max="4090" width="17.375" customWidth="1"/>
    <col min="4091" max="4091" width="6.375" customWidth="1"/>
    <col min="4092" max="4092" width="6.5" customWidth="1"/>
    <col min="4093" max="4093" width="6.25" customWidth="1"/>
    <col min="4094" max="4095" width="17.625" customWidth="1"/>
    <col min="4096" max="4096" width="17.375" customWidth="1"/>
    <col min="4097" max="4098" width="16.125" customWidth="1"/>
    <col min="4099" max="4099" width="13.5" customWidth="1"/>
    <col min="4100" max="4100" width="15.125" customWidth="1"/>
    <col min="4101" max="4101" width="7.75" customWidth="1"/>
    <col min="4102" max="4102" width="16.125" customWidth="1"/>
    <col min="4103" max="4103" width="16" customWidth="1"/>
    <col min="4104" max="4104" width="14.25" customWidth="1"/>
    <col min="4105" max="4105" width="15.5" customWidth="1"/>
    <col min="4106" max="4106" width="16" customWidth="1"/>
    <col min="4107" max="4108" width="15.25" customWidth="1"/>
    <col min="4109" max="4117" width="0" hidden="1" customWidth="1"/>
    <col min="4344" max="4344" width="6" customWidth="1"/>
    <col min="4345" max="4345" width="10" customWidth="1"/>
    <col min="4346" max="4346" width="17.375" customWidth="1"/>
    <col min="4347" max="4347" width="6.375" customWidth="1"/>
    <col min="4348" max="4348" width="6.5" customWidth="1"/>
    <col min="4349" max="4349" width="6.25" customWidth="1"/>
    <col min="4350" max="4351" width="17.625" customWidth="1"/>
    <col min="4352" max="4352" width="17.375" customWidth="1"/>
    <col min="4353" max="4354" width="16.125" customWidth="1"/>
    <col min="4355" max="4355" width="13.5" customWidth="1"/>
    <col min="4356" max="4356" width="15.125" customWidth="1"/>
    <col min="4357" max="4357" width="7.75" customWidth="1"/>
    <col min="4358" max="4358" width="16.125" customWidth="1"/>
    <col min="4359" max="4359" width="16" customWidth="1"/>
    <col min="4360" max="4360" width="14.25" customWidth="1"/>
    <col min="4361" max="4361" width="15.5" customWidth="1"/>
    <col min="4362" max="4362" width="16" customWidth="1"/>
    <col min="4363" max="4364" width="15.25" customWidth="1"/>
    <col min="4365" max="4373" width="0" hidden="1" customWidth="1"/>
    <col min="4600" max="4600" width="6" customWidth="1"/>
    <col min="4601" max="4601" width="10" customWidth="1"/>
    <col min="4602" max="4602" width="17.375" customWidth="1"/>
    <col min="4603" max="4603" width="6.375" customWidth="1"/>
    <col min="4604" max="4604" width="6.5" customWidth="1"/>
    <col min="4605" max="4605" width="6.25" customWidth="1"/>
    <col min="4606" max="4607" width="17.625" customWidth="1"/>
    <col min="4608" max="4608" width="17.375" customWidth="1"/>
    <col min="4609" max="4610" width="16.125" customWidth="1"/>
    <col min="4611" max="4611" width="13.5" customWidth="1"/>
    <col min="4612" max="4612" width="15.125" customWidth="1"/>
    <col min="4613" max="4613" width="7.75" customWidth="1"/>
    <col min="4614" max="4614" width="16.125" customWidth="1"/>
    <col min="4615" max="4615" width="16" customWidth="1"/>
    <col min="4616" max="4616" width="14.25" customWidth="1"/>
    <col min="4617" max="4617" width="15.5" customWidth="1"/>
    <col min="4618" max="4618" width="16" customWidth="1"/>
    <col min="4619" max="4620" width="15.25" customWidth="1"/>
    <col min="4621" max="4629" width="0" hidden="1" customWidth="1"/>
    <col min="4856" max="4856" width="6" customWidth="1"/>
    <col min="4857" max="4857" width="10" customWidth="1"/>
    <col min="4858" max="4858" width="17.375" customWidth="1"/>
    <col min="4859" max="4859" width="6.375" customWidth="1"/>
    <col min="4860" max="4860" width="6.5" customWidth="1"/>
    <col min="4861" max="4861" width="6.25" customWidth="1"/>
    <col min="4862" max="4863" width="17.625" customWidth="1"/>
    <col min="4864" max="4864" width="17.375" customWidth="1"/>
    <col min="4865" max="4866" width="16.125" customWidth="1"/>
    <col min="4867" max="4867" width="13.5" customWidth="1"/>
    <col min="4868" max="4868" width="15.125" customWidth="1"/>
    <col min="4869" max="4869" width="7.75" customWidth="1"/>
    <col min="4870" max="4870" width="16.125" customWidth="1"/>
    <col min="4871" max="4871" width="16" customWidth="1"/>
    <col min="4872" max="4872" width="14.25" customWidth="1"/>
    <col min="4873" max="4873" width="15.5" customWidth="1"/>
    <col min="4874" max="4874" width="16" customWidth="1"/>
    <col min="4875" max="4876" width="15.25" customWidth="1"/>
    <col min="4877" max="4885" width="0" hidden="1" customWidth="1"/>
    <col min="5112" max="5112" width="6" customWidth="1"/>
    <col min="5113" max="5113" width="10" customWidth="1"/>
    <col min="5114" max="5114" width="17.375" customWidth="1"/>
    <col min="5115" max="5115" width="6.375" customWidth="1"/>
    <col min="5116" max="5116" width="6.5" customWidth="1"/>
    <col min="5117" max="5117" width="6.25" customWidth="1"/>
    <col min="5118" max="5119" width="17.625" customWidth="1"/>
    <col min="5120" max="5120" width="17.375" customWidth="1"/>
    <col min="5121" max="5122" width="16.125" customWidth="1"/>
    <col min="5123" max="5123" width="13.5" customWidth="1"/>
    <col min="5124" max="5124" width="15.125" customWidth="1"/>
    <col min="5125" max="5125" width="7.75" customWidth="1"/>
    <col min="5126" max="5126" width="16.125" customWidth="1"/>
    <col min="5127" max="5127" width="16" customWidth="1"/>
    <col min="5128" max="5128" width="14.25" customWidth="1"/>
    <col min="5129" max="5129" width="15.5" customWidth="1"/>
    <col min="5130" max="5130" width="16" customWidth="1"/>
    <col min="5131" max="5132" width="15.25" customWidth="1"/>
    <col min="5133" max="5141" width="0" hidden="1" customWidth="1"/>
    <col min="5368" max="5368" width="6" customWidth="1"/>
    <col min="5369" max="5369" width="10" customWidth="1"/>
    <col min="5370" max="5370" width="17.375" customWidth="1"/>
    <col min="5371" max="5371" width="6.375" customWidth="1"/>
    <col min="5372" max="5372" width="6.5" customWidth="1"/>
    <col min="5373" max="5373" width="6.25" customWidth="1"/>
    <col min="5374" max="5375" width="17.625" customWidth="1"/>
    <col min="5376" max="5376" width="17.375" customWidth="1"/>
    <col min="5377" max="5378" width="16.125" customWidth="1"/>
    <col min="5379" max="5379" width="13.5" customWidth="1"/>
    <col min="5380" max="5380" width="15.125" customWidth="1"/>
    <col min="5381" max="5381" width="7.75" customWidth="1"/>
    <col min="5382" max="5382" width="16.125" customWidth="1"/>
    <col min="5383" max="5383" width="16" customWidth="1"/>
    <col min="5384" max="5384" width="14.25" customWidth="1"/>
    <col min="5385" max="5385" width="15.5" customWidth="1"/>
    <col min="5386" max="5386" width="16" customWidth="1"/>
    <col min="5387" max="5388" width="15.25" customWidth="1"/>
    <col min="5389" max="5397" width="0" hidden="1" customWidth="1"/>
    <col min="5624" max="5624" width="6" customWidth="1"/>
    <col min="5625" max="5625" width="10" customWidth="1"/>
    <col min="5626" max="5626" width="17.375" customWidth="1"/>
    <col min="5627" max="5627" width="6.375" customWidth="1"/>
    <col min="5628" max="5628" width="6.5" customWidth="1"/>
    <col min="5629" max="5629" width="6.25" customWidth="1"/>
    <col min="5630" max="5631" width="17.625" customWidth="1"/>
    <col min="5632" max="5632" width="17.375" customWidth="1"/>
    <col min="5633" max="5634" width="16.125" customWidth="1"/>
    <col min="5635" max="5635" width="13.5" customWidth="1"/>
    <col min="5636" max="5636" width="15.125" customWidth="1"/>
    <col min="5637" max="5637" width="7.75" customWidth="1"/>
    <col min="5638" max="5638" width="16.125" customWidth="1"/>
    <col min="5639" max="5639" width="16" customWidth="1"/>
    <col min="5640" max="5640" width="14.25" customWidth="1"/>
    <col min="5641" max="5641" width="15.5" customWidth="1"/>
    <col min="5642" max="5642" width="16" customWidth="1"/>
    <col min="5643" max="5644" width="15.25" customWidth="1"/>
    <col min="5645" max="5653" width="0" hidden="1" customWidth="1"/>
    <col min="5880" max="5880" width="6" customWidth="1"/>
    <col min="5881" max="5881" width="10" customWidth="1"/>
    <col min="5882" max="5882" width="17.375" customWidth="1"/>
    <col min="5883" max="5883" width="6.375" customWidth="1"/>
    <col min="5884" max="5884" width="6.5" customWidth="1"/>
    <col min="5885" max="5885" width="6.25" customWidth="1"/>
    <col min="5886" max="5887" width="17.625" customWidth="1"/>
    <col min="5888" max="5888" width="17.375" customWidth="1"/>
    <col min="5889" max="5890" width="16.125" customWidth="1"/>
    <col min="5891" max="5891" width="13.5" customWidth="1"/>
    <col min="5892" max="5892" width="15.125" customWidth="1"/>
    <col min="5893" max="5893" width="7.75" customWidth="1"/>
    <col min="5894" max="5894" width="16.125" customWidth="1"/>
    <col min="5895" max="5895" width="16" customWidth="1"/>
    <col min="5896" max="5896" width="14.25" customWidth="1"/>
    <col min="5897" max="5897" width="15.5" customWidth="1"/>
    <col min="5898" max="5898" width="16" customWidth="1"/>
    <col min="5899" max="5900" width="15.25" customWidth="1"/>
    <col min="5901" max="5909" width="0" hidden="1" customWidth="1"/>
    <col min="6136" max="6136" width="6" customWidth="1"/>
    <col min="6137" max="6137" width="10" customWidth="1"/>
    <col min="6138" max="6138" width="17.375" customWidth="1"/>
    <col min="6139" max="6139" width="6.375" customWidth="1"/>
    <col min="6140" max="6140" width="6.5" customWidth="1"/>
    <col min="6141" max="6141" width="6.25" customWidth="1"/>
    <col min="6142" max="6143" width="17.625" customWidth="1"/>
    <col min="6144" max="6144" width="17.375" customWidth="1"/>
    <col min="6145" max="6146" width="16.125" customWidth="1"/>
    <col min="6147" max="6147" width="13.5" customWidth="1"/>
    <col min="6148" max="6148" width="15.125" customWidth="1"/>
    <col min="6149" max="6149" width="7.75" customWidth="1"/>
    <col min="6150" max="6150" width="16.125" customWidth="1"/>
    <col min="6151" max="6151" width="16" customWidth="1"/>
    <col min="6152" max="6152" width="14.25" customWidth="1"/>
    <col min="6153" max="6153" width="15.5" customWidth="1"/>
    <col min="6154" max="6154" width="16" customWidth="1"/>
    <col min="6155" max="6156" width="15.25" customWidth="1"/>
    <col min="6157" max="6165" width="0" hidden="1" customWidth="1"/>
    <col min="6392" max="6392" width="6" customWidth="1"/>
    <col min="6393" max="6393" width="10" customWidth="1"/>
    <col min="6394" max="6394" width="17.375" customWidth="1"/>
    <col min="6395" max="6395" width="6.375" customWidth="1"/>
    <col min="6396" max="6396" width="6.5" customWidth="1"/>
    <col min="6397" max="6397" width="6.25" customWidth="1"/>
    <col min="6398" max="6399" width="17.625" customWidth="1"/>
    <col min="6400" max="6400" width="17.375" customWidth="1"/>
    <col min="6401" max="6402" width="16.125" customWidth="1"/>
    <col min="6403" max="6403" width="13.5" customWidth="1"/>
    <col min="6404" max="6404" width="15.125" customWidth="1"/>
    <col min="6405" max="6405" width="7.75" customWidth="1"/>
    <col min="6406" max="6406" width="16.125" customWidth="1"/>
    <col min="6407" max="6407" width="16" customWidth="1"/>
    <col min="6408" max="6408" width="14.25" customWidth="1"/>
    <col min="6409" max="6409" width="15.5" customWidth="1"/>
    <col min="6410" max="6410" width="16" customWidth="1"/>
    <col min="6411" max="6412" width="15.25" customWidth="1"/>
    <col min="6413" max="6421" width="0" hidden="1" customWidth="1"/>
    <col min="6648" max="6648" width="6" customWidth="1"/>
    <col min="6649" max="6649" width="10" customWidth="1"/>
    <col min="6650" max="6650" width="17.375" customWidth="1"/>
    <col min="6651" max="6651" width="6.375" customWidth="1"/>
    <col min="6652" max="6652" width="6.5" customWidth="1"/>
    <col min="6653" max="6653" width="6.25" customWidth="1"/>
    <col min="6654" max="6655" width="17.625" customWidth="1"/>
    <col min="6656" max="6656" width="17.375" customWidth="1"/>
    <col min="6657" max="6658" width="16.125" customWidth="1"/>
    <col min="6659" max="6659" width="13.5" customWidth="1"/>
    <col min="6660" max="6660" width="15.125" customWidth="1"/>
    <col min="6661" max="6661" width="7.75" customWidth="1"/>
    <col min="6662" max="6662" width="16.125" customWidth="1"/>
    <col min="6663" max="6663" width="16" customWidth="1"/>
    <col min="6664" max="6664" width="14.25" customWidth="1"/>
    <col min="6665" max="6665" width="15.5" customWidth="1"/>
    <col min="6666" max="6666" width="16" customWidth="1"/>
    <col min="6667" max="6668" width="15.25" customWidth="1"/>
    <col min="6669" max="6677" width="0" hidden="1" customWidth="1"/>
    <col min="6904" max="6904" width="6" customWidth="1"/>
    <col min="6905" max="6905" width="10" customWidth="1"/>
    <col min="6906" max="6906" width="17.375" customWidth="1"/>
    <col min="6907" max="6907" width="6.375" customWidth="1"/>
    <col min="6908" max="6908" width="6.5" customWidth="1"/>
    <col min="6909" max="6909" width="6.25" customWidth="1"/>
    <col min="6910" max="6911" width="17.625" customWidth="1"/>
    <col min="6912" max="6912" width="17.375" customWidth="1"/>
    <col min="6913" max="6914" width="16.125" customWidth="1"/>
    <col min="6915" max="6915" width="13.5" customWidth="1"/>
    <col min="6916" max="6916" width="15.125" customWidth="1"/>
    <col min="6917" max="6917" width="7.75" customWidth="1"/>
    <col min="6918" max="6918" width="16.125" customWidth="1"/>
    <col min="6919" max="6919" width="16" customWidth="1"/>
    <col min="6920" max="6920" width="14.25" customWidth="1"/>
    <col min="6921" max="6921" width="15.5" customWidth="1"/>
    <col min="6922" max="6922" width="16" customWidth="1"/>
    <col min="6923" max="6924" width="15.25" customWidth="1"/>
    <col min="6925" max="6933" width="0" hidden="1" customWidth="1"/>
    <col min="7160" max="7160" width="6" customWidth="1"/>
    <col min="7161" max="7161" width="10" customWidth="1"/>
    <col min="7162" max="7162" width="17.375" customWidth="1"/>
    <col min="7163" max="7163" width="6.375" customWidth="1"/>
    <col min="7164" max="7164" width="6.5" customWidth="1"/>
    <col min="7165" max="7165" width="6.25" customWidth="1"/>
    <col min="7166" max="7167" width="17.625" customWidth="1"/>
    <col min="7168" max="7168" width="17.375" customWidth="1"/>
    <col min="7169" max="7170" width="16.125" customWidth="1"/>
    <col min="7171" max="7171" width="13.5" customWidth="1"/>
    <col min="7172" max="7172" width="15.125" customWidth="1"/>
    <col min="7173" max="7173" width="7.75" customWidth="1"/>
    <col min="7174" max="7174" width="16.125" customWidth="1"/>
    <col min="7175" max="7175" width="16" customWidth="1"/>
    <col min="7176" max="7176" width="14.25" customWidth="1"/>
    <col min="7177" max="7177" width="15.5" customWidth="1"/>
    <col min="7178" max="7178" width="16" customWidth="1"/>
    <col min="7179" max="7180" width="15.25" customWidth="1"/>
    <col min="7181" max="7189" width="0" hidden="1" customWidth="1"/>
    <col min="7416" max="7416" width="6" customWidth="1"/>
    <col min="7417" max="7417" width="10" customWidth="1"/>
    <col min="7418" max="7418" width="17.375" customWidth="1"/>
    <col min="7419" max="7419" width="6.375" customWidth="1"/>
    <col min="7420" max="7420" width="6.5" customWidth="1"/>
    <col min="7421" max="7421" width="6.25" customWidth="1"/>
    <col min="7422" max="7423" width="17.625" customWidth="1"/>
    <col min="7424" max="7424" width="17.375" customWidth="1"/>
    <col min="7425" max="7426" width="16.125" customWidth="1"/>
    <col min="7427" max="7427" width="13.5" customWidth="1"/>
    <col min="7428" max="7428" width="15.125" customWidth="1"/>
    <col min="7429" max="7429" width="7.75" customWidth="1"/>
    <col min="7430" max="7430" width="16.125" customWidth="1"/>
    <col min="7431" max="7431" width="16" customWidth="1"/>
    <col min="7432" max="7432" width="14.25" customWidth="1"/>
    <col min="7433" max="7433" width="15.5" customWidth="1"/>
    <col min="7434" max="7434" width="16" customWidth="1"/>
    <col min="7435" max="7436" width="15.25" customWidth="1"/>
    <col min="7437" max="7445" width="0" hidden="1" customWidth="1"/>
    <col min="7672" max="7672" width="6" customWidth="1"/>
    <col min="7673" max="7673" width="10" customWidth="1"/>
    <col min="7674" max="7674" width="17.375" customWidth="1"/>
    <col min="7675" max="7675" width="6.375" customWidth="1"/>
    <col min="7676" max="7676" width="6.5" customWidth="1"/>
    <col min="7677" max="7677" width="6.25" customWidth="1"/>
    <col min="7678" max="7679" width="17.625" customWidth="1"/>
    <col min="7680" max="7680" width="17.375" customWidth="1"/>
    <col min="7681" max="7682" width="16.125" customWidth="1"/>
    <col min="7683" max="7683" width="13.5" customWidth="1"/>
    <col min="7684" max="7684" width="15.125" customWidth="1"/>
    <col min="7685" max="7685" width="7.75" customWidth="1"/>
    <col min="7686" max="7686" width="16.125" customWidth="1"/>
    <col min="7687" max="7687" width="16" customWidth="1"/>
    <col min="7688" max="7688" width="14.25" customWidth="1"/>
    <col min="7689" max="7689" width="15.5" customWidth="1"/>
    <col min="7690" max="7690" width="16" customWidth="1"/>
    <col min="7691" max="7692" width="15.25" customWidth="1"/>
    <col min="7693" max="7701" width="0" hidden="1" customWidth="1"/>
    <col min="7928" max="7928" width="6" customWidth="1"/>
    <col min="7929" max="7929" width="10" customWidth="1"/>
    <col min="7930" max="7930" width="17.375" customWidth="1"/>
    <col min="7931" max="7931" width="6.375" customWidth="1"/>
    <col min="7932" max="7932" width="6.5" customWidth="1"/>
    <col min="7933" max="7933" width="6.25" customWidth="1"/>
    <col min="7934" max="7935" width="17.625" customWidth="1"/>
    <col min="7936" max="7936" width="17.375" customWidth="1"/>
    <col min="7937" max="7938" width="16.125" customWidth="1"/>
    <col min="7939" max="7939" width="13.5" customWidth="1"/>
    <col min="7940" max="7940" width="15.125" customWidth="1"/>
    <col min="7941" max="7941" width="7.75" customWidth="1"/>
    <col min="7942" max="7942" width="16.125" customWidth="1"/>
    <col min="7943" max="7943" width="16" customWidth="1"/>
    <col min="7944" max="7944" width="14.25" customWidth="1"/>
    <col min="7945" max="7945" width="15.5" customWidth="1"/>
    <col min="7946" max="7946" width="16" customWidth="1"/>
    <col min="7947" max="7948" width="15.25" customWidth="1"/>
    <col min="7949" max="7957" width="0" hidden="1" customWidth="1"/>
    <col min="8184" max="8184" width="6" customWidth="1"/>
    <col min="8185" max="8185" width="10" customWidth="1"/>
    <col min="8186" max="8186" width="17.375" customWidth="1"/>
    <col min="8187" max="8187" width="6.375" customWidth="1"/>
    <col min="8188" max="8188" width="6.5" customWidth="1"/>
    <col min="8189" max="8189" width="6.25" customWidth="1"/>
    <col min="8190" max="8191" width="17.625" customWidth="1"/>
    <col min="8192" max="8192" width="17.375" customWidth="1"/>
    <col min="8193" max="8194" width="16.125" customWidth="1"/>
    <col min="8195" max="8195" width="13.5" customWidth="1"/>
    <col min="8196" max="8196" width="15.125" customWidth="1"/>
    <col min="8197" max="8197" width="7.75" customWidth="1"/>
    <col min="8198" max="8198" width="16.125" customWidth="1"/>
    <col min="8199" max="8199" width="16" customWidth="1"/>
    <col min="8200" max="8200" width="14.25" customWidth="1"/>
    <col min="8201" max="8201" width="15.5" customWidth="1"/>
    <col min="8202" max="8202" width="16" customWidth="1"/>
    <col min="8203" max="8204" width="15.25" customWidth="1"/>
    <col min="8205" max="8213" width="0" hidden="1" customWidth="1"/>
    <col min="8440" max="8440" width="6" customWidth="1"/>
    <col min="8441" max="8441" width="10" customWidth="1"/>
    <col min="8442" max="8442" width="17.375" customWidth="1"/>
    <col min="8443" max="8443" width="6.375" customWidth="1"/>
    <col min="8444" max="8444" width="6.5" customWidth="1"/>
    <col min="8445" max="8445" width="6.25" customWidth="1"/>
    <col min="8446" max="8447" width="17.625" customWidth="1"/>
    <col min="8448" max="8448" width="17.375" customWidth="1"/>
    <col min="8449" max="8450" width="16.125" customWidth="1"/>
    <col min="8451" max="8451" width="13.5" customWidth="1"/>
    <col min="8452" max="8452" width="15.125" customWidth="1"/>
    <col min="8453" max="8453" width="7.75" customWidth="1"/>
    <col min="8454" max="8454" width="16.125" customWidth="1"/>
    <col min="8455" max="8455" width="16" customWidth="1"/>
    <col min="8456" max="8456" width="14.25" customWidth="1"/>
    <col min="8457" max="8457" width="15.5" customWidth="1"/>
    <col min="8458" max="8458" width="16" customWidth="1"/>
    <col min="8459" max="8460" width="15.25" customWidth="1"/>
    <col min="8461" max="8469" width="0" hidden="1" customWidth="1"/>
    <col min="8696" max="8696" width="6" customWidth="1"/>
    <col min="8697" max="8697" width="10" customWidth="1"/>
    <col min="8698" max="8698" width="17.375" customWidth="1"/>
    <col min="8699" max="8699" width="6.375" customWidth="1"/>
    <col min="8700" max="8700" width="6.5" customWidth="1"/>
    <col min="8701" max="8701" width="6.25" customWidth="1"/>
    <col min="8702" max="8703" width="17.625" customWidth="1"/>
    <col min="8704" max="8704" width="17.375" customWidth="1"/>
    <col min="8705" max="8706" width="16.125" customWidth="1"/>
    <col min="8707" max="8707" width="13.5" customWidth="1"/>
    <col min="8708" max="8708" width="15.125" customWidth="1"/>
    <col min="8709" max="8709" width="7.75" customWidth="1"/>
    <col min="8710" max="8710" width="16.125" customWidth="1"/>
    <col min="8711" max="8711" width="16" customWidth="1"/>
    <col min="8712" max="8712" width="14.25" customWidth="1"/>
    <col min="8713" max="8713" width="15.5" customWidth="1"/>
    <col min="8714" max="8714" width="16" customWidth="1"/>
    <col min="8715" max="8716" width="15.25" customWidth="1"/>
    <col min="8717" max="8725" width="0" hidden="1" customWidth="1"/>
    <col min="8952" max="8952" width="6" customWidth="1"/>
    <col min="8953" max="8953" width="10" customWidth="1"/>
    <col min="8954" max="8954" width="17.375" customWidth="1"/>
    <col min="8955" max="8955" width="6.375" customWidth="1"/>
    <col min="8956" max="8956" width="6.5" customWidth="1"/>
    <col min="8957" max="8957" width="6.25" customWidth="1"/>
    <col min="8958" max="8959" width="17.625" customWidth="1"/>
    <col min="8960" max="8960" width="17.375" customWidth="1"/>
    <col min="8961" max="8962" width="16.125" customWidth="1"/>
    <col min="8963" max="8963" width="13.5" customWidth="1"/>
    <col min="8964" max="8964" width="15.125" customWidth="1"/>
    <col min="8965" max="8965" width="7.75" customWidth="1"/>
    <col min="8966" max="8966" width="16.125" customWidth="1"/>
    <col min="8967" max="8967" width="16" customWidth="1"/>
    <col min="8968" max="8968" width="14.25" customWidth="1"/>
    <col min="8969" max="8969" width="15.5" customWidth="1"/>
    <col min="8970" max="8970" width="16" customWidth="1"/>
    <col min="8971" max="8972" width="15.25" customWidth="1"/>
    <col min="8973" max="8981" width="0" hidden="1" customWidth="1"/>
    <col min="9208" max="9208" width="6" customWidth="1"/>
    <col min="9209" max="9209" width="10" customWidth="1"/>
    <col min="9210" max="9210" width="17.375" customWidth="1"/>
    <col min="9211" max="9211" width="6.375" customWidth="1"/>
    <col min="9212" max="9212" width="6.5" customWidth="1"/>
    <col min="9213" max="9213" width="6.25" customWidth="1"/>
    <col min="9214" max="9215" width="17.625" customWidth="1"/>
    <col min="9216" max="9216" width="17.375" customWidth="1"/>
    <col min="9217" max="9218" width="16.125" customWidth="1"/>
    <col min="9219" max="9219" width="13.5" customWidth="1"/>
    <col min="9220" max="9220" width="15.125" customWidth="1"/>
    <col min="9221" max="9221" width="7.75" customWidth="1"/>
    <col min="9222" max="9222" width="16.125" customWidth="1"/>
    <col min="9223" max="9223" width="16" customWidth="1"/>
    <col min="9224" max="9224" width="14.25" customWidth="1"/>
    <col min="9225" max="9225" width="15.5" customWidth="1"/>
    <col min="9226" max="9226" width="16" customWidth="1"/>
    <col min="9227" max="9228" width="15.25" customWidth="1"/>
    <col min="9229" max="9237" width="0" hidden="1" customWidth="1"/>
    <col min="9464" max="9464" width="6" customWidth="1"/>
    <col min="9465" max="9465" width="10" customWidth="1"/>
    <col min="9466" max="9466" width="17.375" customWidth="1"/>
    <col min="9467" max="9467" width="6.375" customWidth="1"/>
    <col min="9468" max="9468" width="6.5" customWidth="1"/>
    <col min="9469" max="9469" width="6.25" customWidth="1"/>
    <col min="9470" max="9471" width="17.625" customWidth="1"/>
    <col min="9472" max="9472" width="17.375" customWidth="1"/>
    <col min="9473" max="9474" width="16.125" customWidth="1"/>
    <col min="9475" max="9475" width="13.5" customWidth="1"/>
    <col min="9476" max="9476" width="15.125" customWidth="1"/>
    <col min="9477" max="9477" width="7.75" customWidth="1"/>
    <col min="9478" max="9478" width="16.125" customWidth="1"/>
    <col min="9479" max="9479" width="16" customWidth="1"/>
    <col min="9480" max="9480" width="14.25" customWidth="1"/>
    <col min="9481" max="9481" width="15.5" customWidth="1"/>
    <col min="9482" max="9482" width="16" customWidth="1"/>
    <col min="9483" max="9484" width="15.25" customWidth="1"/>
    <col min="9485" max="9493" width="0" hidden="1" customWidth="1"/>
    <col min="9720" max="9720" width="6" customWidth="1"/>
    <col min="9721" max="9721" width="10" customWidth="1"/>
    <col min="9722" max="9722" width="17.375" customWidth="1"/>
    <col min="9723" max="9723" width="6.375" customWidth="1"/>
    <col min="9724" max="9724" width="6.5" customWidth="1"/>
    <col min="9725" max="9725" width="6.25" customWidth="1"/>
    <col min="9726" max="9727" width="17.625" customWidth="1"/>
    <col min="9728" max="9728" width="17.375" customWidth="1"/>
    <col min="9729" max="9730" width="16.125" customWidth="1"/>
    <col min="9731" max="9731" width="13.5" customWidth="1"/>
    <col min="9732" max="9732" width="15.125" customWidth="1"/>
    <col min="9733" max="9733" width="7.75" customWidth="1"/>
    <col min="9734" max="9734" width="16.125" customWidth="1"/>
    <col min="9735" max="9735" width="16" customWidth="1"/>
    <col min="9736" max="9736" width="14.25" customWidth="1"/>
    <col min="9737" max="9737" width="15.5" customWidth="1"/>
    <col min="9738" max="9738" width="16" customWidth="1"/>
    <col min="9739" max="9740" width="15.25" customWidth="1"/>
    <col min="9741" max="9749" width="0" hidden="1" customWidth="1"/>
    <col min="9976" max="9976" width="6" customWidth="1"/>
    <col min="9977" max="9977" width="10" customWidth="1"/>
    <col min="9978" max="9978" width="17.375" customWidth="1"/>
    <col min="9979" max="9979" width="6.375" customWidth="1"/>
    <col min="9980" max="9980" width="6.5" customWidth="1"/>
    <col min="9981" max="9981" width="6.25" customWidth="1"/>
    <col min="9982" max="9983" width="17.625" customWidth="1"/>
    <col min="9984" max="9984" width="17.375" customWidth="1"/>
    <col min="9985" max="9986" width="16.125" customWidth="1"/>
    <col min="9987" max="9987" width="13.5" customWidth="1"/>
    <col min="9988" max="9988" width="15.125" customWidth="1"/>
    <col min="9989" max="9989" width="7.75" customWidth="1"/>
    <col min="9990" max="9990" width="16.125" customWidth="1"/>
    <col min="9991" max="9991" width="16" customWidth="1"/>
    <col min="9992" max="9992" width="14.25" customWidth="1"/>
    <col min="9993" max="9993" width="15.5" customWidth="1"/>
    <col min="9994" max="9994" width="16" customWidth="1"/>
    <col min="9995" max="9996" width="15.25" customWidth="1"/>
    <col min="9997" max="10005" width="0" hidden="1" customWidth="1"/>
    <col min="10232" max="10232" width="6" customWidth="1"/>
    <col min="10233" max="10233" width="10" customWidth="1"/>
    <col min="10234" max="10234" width="17.375" customWidth="1"/>
    <col min="10235" max="10235" width="6.375" customWidth="1"/>
    <col min="10236" max="10236" width="6.5" customWidth="1"/>
    <col min="10237" max="10237" width="6.25" customWidth="1"/>
    <col min="10238" max="10239" width="17.625" customWidth="1"/>
    <col min="10240" max="10240" width="17.375" customWidth="1"/>
    <col min="10241" max="10242" width="16.125" customWidth="1"/>
    <col min="10243" max="10243" width="13.5" customWidth="1"/>
    <col min="10244" max="10244" width="15.125" customWidth="1"/>
    <col min="10245" max="10245" width="7.75" customWidth="1"/>
    <col min="10246" max="10246" width="16.125" customWidth="1"/>
    <col min="10247" max="10247" width="16" customWidth="1"/>
    <col min="10248" max="10248" width="14.25" customWidth="1"/>
    <col min="10249" max="10249" width="15.5" customWidth="1"/>
    <col min="10250" max="10250" width="16" customWidth="1"/>
    <col min="10251" max="10252" width="15.25" customWidth="1"/>
    <col min="10253" max="10261" width="0" hidden="1" customWidth="1"/>
    <col min="10488" max="10488" width="6" customWidth="1"/>
    <col min="10489" max="10489" width="10" customWidth="1"/>
    <col min="10490" max="10490" width="17.375" customWidth="1"/>
    <col min="10491" max="10491" width="6.375" customWidth="1"/>
    <col min="10492" max="10492" width="6.5" customWidth="1"/>
    <col min="10493" max="10493" width="6.25" customWidth="1"/>
    <col min="10494" max="10495" width="17.625" customWidth="1"/>
    <col min="10496" max="10496" width="17.375" customWidth="1"/>
    <col min="10497" max="10498" width="16.125" customWidth="1"/>
    <col min="10499" max="10499" width="13.5" customWidth="1"/>
    <col min="10500" max="10500" width="15.125" customWidth="1"/>
    <col min="10501" max="10501" width="7.75" customWidth="1"/>
    <col min="10502" max="10502" width="16.125" customWidth="1"/>
    <col min="10503" max="10503" width="16" customWidth="1"/>
    <col min="10504" max="10504" width="14.25" customWidth="1"/>
    <col min="10505" max="10505" width="15.5" customWidth="1"/>
    <col min="10506" max="10506" width="16" customWidth="1"/>
    <col min="10507" max="10508" width="15.25" customWidth="1"/>
    <col min="10509" max="10517" width="0" hidden="1" customWidth="1"/>
    <col min="10744" max="10744" width="6" customWidth="1"/>
    <col min="10745" max="10745" width="10" customWidth="1"/>
    <col min="10746" max="10746" width="17.375" customWidth="1"/>
    <col min="10747" max="10747" width="6.375" customWidth="1"/>
    <col min="10748" max="10748" width="6.5" customWidth="1"/>
    <col min="10749" max="10749" width="6.25" customWidth="1"/>
    <col min="10750" max="10751" width="17.625" customWidth="1"/>
    <col min="10752" max="10752" width="17.375" customWidth="1"/>
    <col min="10753" max="10754" width="16.125" customWidth="1"/>
    <col min="10755" max="10755" width="13.5" customWidth="1"/>
    <col min="10756" max="10756" width="15.125" customWidth="1"/>
    <col min="10757" max="10757" width="7.75" customWidth="1"/>
    <col min="10758" max="10758" width="16.125" customWidth="1"/>
    <col min="10759" max="10759" width="16" customWidth="1"/>
    <col min="10760" max="10760" width="14.25" customWidth="1"/>
    <col min="10761" max="10761" width="15.5" customWidth="1"/>
    <col min="10762" max="10762" width="16" customWidth="1"/>
    <col min="10763" max="10764" width="15.25" customWidth="1"/>
    <col min="10765" max="10773" width="0" hidden="1" customWidth="1"/>
    <col min="11000" max="11000" width="6" customWidth="1"/>
    <col min="11001" max="11001" width="10" customWidth="1"/>
    <col min="11002" max="11002" width="17.375" customWidth="1"/>
    <col min="11003" max="11003" width="6.375" customWidth="1"/>
    <col min="11004" max="11004" width="6.5" customWidth="1"/>
    <col min="11005" max="11005" width="6.25" customWidth="1"/>
    <col min="11006" max="11007" width="17.625" customWidth="1"/>
    <col min="11008" max="11008" width="17.375" customWidth="1"/>
    <col min="11009" max="11010" width="16.125" customWidth="1"/>
    <col min="11011" max="11011" width="13.5" customWidth="1"/>
    <col min="11012" max="11012" width="15.125" customWidth="1"/>
    <col min="11013" max="11013" width="7.75" customWidth="1"/>
    <col min="11014" max="11014" width="16.125" customWidth="1"/>
    <col min="11015" max="11015" width="16" customWidth="1"/>
    <col min="11016" max="11016" width="14.25" customWidth="1"/>
    <col min="11017" max="11017" width="15.5" customWidth="1"/>
    <col min="11018" max="11018" width="16" customWidth="1"/>
    <col min="11019" max="11020" width="15.25" customWidth="1"/>
    <col min="11021" max="11029" width="0" hidden="1" customWidth="1"/>
    <col min="11256" max="11256" width="6" customWidth="1"/>
    <col min="11257" max="11257" width="10" customWidth="1"/>
    <col min="11258" max="11258" width="17.375" customWidth="1"/>
    <col min="11259" max="11259" width="6.375" customWidth="1"/>
    <col min="11260" max="11260" width="6.5" customWidth="1"/>
    <col min="11261" max="11261" width="6.25" customWidth="1"/>
    <col min="11262" max="11263" width="17.625" customWidth="1"/>
    <col min="11264" max="11264" width="17.375" customWidth="1"/>
    <col min="11265" max="11266" width="16.125" customWidth="1"/>
    <col min="11267" max="11267" width="13.5" customWidth="1"/>
    <col min="11268" max="11268" width="15.125" customWidth="1"/>
    <col min="11269" max="11269" width="7.75" customWidth="1"/>
    <col min="11270" max="11270" width="16.125" customWidth="1"/>
    <col min="11271" max="11271" width="16" customWidth="1"/>
    <col min="11272" max="11272" width="14.25" customWidth="1"/>
    <col min="11273" max="11273" width="15.5" customWidth="1"/>
    <col min="11274" max="11274" width="16" customWidth="1"/>
    <col min="11275" max="11276" width="15.25" customWidth="1"/>
    <col min="11277" max="11285" width="0" hidden="1" customWidth="1"/>
    <col min="11512" max="11512" width="6" customWidth="1"/>
    <col min="11513" max="11513" width="10" customWidth="1"/>
    <col min="11514" max="11514" width="17.375" customWidth="1"/>
    <col min="11515" max="11515" width="6.375" customWidth="1"/>
    <col min="11516" max="11516" width="6.5" customWidth="1"/>
    <col min="11517" max="11517" width="6.25" customWidth="1"/>
    <col min="11518" max="11519" width="17.625" customWidth="1"/>
    <col min="11520" max="11520" width="17.375" customWidth="1"/>
    <col min="11521" max="11522" width="16.125" customWidth="1"/>
    <col min="11523" max="11523" width="13.5" customWidth="1"/>
    <col min="11524" max="11524" width="15.125" customWidth="1"/>
    <col min="11525" max="11525" width="7.75" customWidth="1"/>
    <col min="11526" max="11526" width="16.125" customWidth="1"/>
    <col min="11527" max="11527" width="16" customWidth="1"/>
    <col min="11528" max="11528" width="14.25" customWidth="1"/>
    <col min="11529" max="11529" width="15.5" customWidth="1"/>
    <col min="11530" max="11530" width="16" customWidth="1"/>
    <col min="11531" max="11532" width="15.25" customWidth="1"/>
    <col min="11533" max="11541" width="0" hidden="1" customWidth="1"/>
    <col min="11768" max="11768" width="6" customWidth="1"/>
    <col min="11769" max="11769" width="10" customWidth="1"/>
    <col min="11770" max="11770" width="17.375" customWidth="1"/>
    <col min="11771" max="11771" width="6.375" customWidth="1"/>
    <col min="11772" max="11772" width="6.5" customWidth="1"/>
    <col min="11773" max="11773" width="6.25" customWidth="1"/>
    <col min="11774" max="11775" width="17.625" customWidth="1"/>
    <col min="11776" max="11776" width="17.375" customWidth="1"/>
    <col min="11777" max="11778" width="16.125" customWidth="1"/>
    <col min="11779" max="11779" width="13.5" customWidth="1"/>
    <col min="11780" max="11780" width="15.125" customWidth="1"/>
    <col min="11781" max="11781" width="7.75" customWidth="1"/>
    <col min="11782" max="11782" width="16.125" customWidth="1"/>
    <col min="11783" max="11783" width="16" customWidth="1"/>
    <col min="11784" max="11784" width="14.25" customWidth="1"/>
    <col min="11785" max="11785" width="15.5" customWidth="1"/>
    <col min="11786" max="11786" width="16" customWidth="1"/>
    <col min="11787" max="11788" width="15.25" customWidth="1"/>
    <col min="11789" max="11797" width="0" hidden="1" customWidth="1"/>
    <col min="12024" max="12024" width="6" customWidth="1"/>
    <col min="12025" max="12025" width="10" customWidth="1"/>
    <col min="12026" max="12026" width="17.375" customWidth="1"/>
    <col min="12027" max="12027" width="6.375" customWidth="1"/>
    <col min="12028" max="12028" width="6.5" customWidth="1"/>
    <col min="12029" max="12029" width="6.25" customWidth="1"/>
    <col min="12030" max="12031" width="17.625" customWidth="1"/>
    <col min="12032" max="12032" width="17.375" customWidth="1"/>
    <col min="12033" max="12034" width="16.125" customWidth="1"/>
    <col min="12035" max="12035" width="13.5" customWidth="1"/>
    <col min="12036" max="12036" width="15.125" customWidth="1"/>
    <col min="12037" max="12037" width="7.75" customWidth="1"/>
    <col min="12038" max="12038" width="16.125" customWidth="1"/>
    <col min="12039" max="12039" width="16" customWidth="1"/>
    <col min="12040" max="12040" width="14.25" customWidth="1"/>
    <col min="12041" max="12041" width="15.5" customWidth="1"/>
    <col min="12042" max="12042" width="16" customWidth="1"/>
    <col min="12043" max="12044" width="15.25" customWidth="1"/>
    <col min="12045" max="12053" width="0" hidden="1" customWidth="1"/>
    <col min="12280" max="12280" width="6" customWidth="1"/>
    <col min="12281" max="12281" width="10" customWidth="1"/>
    <col min="12282" max="12282" width="17.375" customWidth="1"/>
    <col min="12283" max="12283" width="6.375" customWidth="1"/>
    <col min="12284" max="12284" width="6.5" customWidth="1"/>
    <col min="12285" max="12285" width="6.25" customWidth="1"/>
    <col min="12286" max="12287" width="17.625" customWidth="1"/>
    <col min="12288" max="12288" width="17.375" customWidth="1"/>
    <col min="12289" max="12290" width="16.125" customWidth="1"/>
    <col min="12291" max="12291" width="13.5" customWidth="1"/>
    <col min="12292" max="12292" width="15.125" customWidth="1"/>
    <col min="12293" max="12293" width="7.75" customWidth="1"/>
    <col min="12294" max="12294" width="16.125" customWidth="1"/>
    <col min="12295" max="12295" width="16" customWidth="1"/>
    <col min="12296" max="12296" width="14.25" customWidth="1"/>
    <col min="12297" max="12297" width="15.5" customWidth="1"/>
    <col min="12298" max="12298" width="16" customWidth="1"/>
    <col min="12299" max="12300" width="15.25" customWidth="1"/>
    <col min="12301" max="12309" width="0" hidden="1" customWidth="1"/>
    <col min="12536" max="12536" width="6" customWidth="1"/>
    <col min="12537" max="12537" width="10" customWidth="1"/>
    <col min="12538" max="12538" width="17.375" customWidth="1"/>
    <col min="12539" max="12539" width="6.375" customWidth="1"/>
    <col min="12540" max="12540" width="6.5" customWidth="1"/>
    <col min="12541" max="12541" width="6.25" customWidth="1"/>
    <col min="12542" max="12543" width="17.625" customWidth="1"/>
    <col min="12544" max="12544" width="17.375" customWidth="1"/>
    <col min="12545" max="12546" width="16.125" customWidth="1"/>
    <col min="12547" max="12547" width="13.5" customWidth="1"/>
    <col min="12548" max="12548" width="15.125" customWidth="1"/>
    <col min="12549" max="12549" width="7.75" customWidth="1"/>
    <col min="12550" max="12550" width="16.125" customWidth="1"/>
    <col min="12551" max="12551" width="16" customWidth="1"/>
    <col min="12552" max="12552" width="14.25" customWidth="1"/>
    <col min="12553" max="12553" width="15.5" customWidth="1"/>
    <col min="12554" max="12554" width="16" customWidth="1"/>
    <col min="12555" max="12556" width="15.25" customWidth="1"/>
    <col min="12557" max="12565" width="0" hidden="1" customWidth="1"/>
    <col min="12792" max="12792" width="6" customWidth="1"/>
    <col min="12793" max="12793" width="10" customWidth="1"/>
    <col min="12794" max="12794" width="17.375" customWidth="1"/>
    <col min="12795" max="12795" width="6.375" customWidth="1"/>
    <col min="12796" max="12796" width="6.5" customWidth="1"/>
    <col min="12797" max="12797" width="6.25" customWidth="1"/>
    <col min="12798" max="12799" width="17.625" customWidth="1"/>
    <col min="12800" max="12800" width="17.375" customWidth="1"/>
    <col min="12801" max="12802" width="16.125" customWidth="1"/>
    <col min="12803" max="12803" width="13.5" customWidth="1"/>
    <col min="12804" max="12804" width="15.125" customWidth="1"/>
    <col min="12805" max="12805" width="7.75" customWidth="1"/>
    <col min="12806" max="12806" width="16.125" customWidth="1"/>
    <col min="12807" max="12807" width="16" customWidth="1"/>
    <col min="12808" max="12808" width="14.25" customWidth="1"/>
    <col min="12809" max="12809" width="15.5" customWidth="1"/>
    <col min="12810" max="12810" width="16" customWidth="1"/>
    <col min="12811" max="12812" width="15.25" customWidth="1"/>
    <col min="12813" max="12821" width="0" hidden="1" customWidth="1"/>
    <col min="13048" max="13048" width="6" customWidth="1"/>
    <col min="13049" max="13049" width="10" customWidth="1"/>
    <col min="13050" max="13050" width="17.375" customWidth="1"/>
    <col min="13051" max="13051" width="6.375" customWidth="1"/>
    <col min="13052" max="13052" width="6.5" customWidth="1"/>
    <col min="13053" max="13053" width="6.25" customWidth="1"/>
    <col min="13054" max="13055" width="17.625" customWidth="1"/>
    <col min="13056" max="13056" width="17.375" customWidth="1"/>
    <col min="13057" max="13058" width="16.125" customWidth="1"/>
    <col min="13059" max="13059" width="13.5" customWidth="1"/>
    <col min="13060" max="13060" width="15.125" customWidth="1"/>
    <col min="13061" max="13061" width="7.75" customWidth="1"/>
    <col min="13062" max="13062" width="16.125" customWidth="1"/>
    <col min="13063" max="13063" width="16" customWidth="1"/>
    <col min="13064" max="13064" width="14.25" customWidth="1"/>
    <col min="13065" max="13065" width="15.5" customWidth="1"/>
    <col min="13066" max="13066" width="16" customWidth="1"/>
    <col min="13067" max="13068" width="15.25" customWidth="1"/>
    <col min="13069" max="13077" width="0" hidden="1" customWidth="1"/>
    <col min="13304" max="13304" width="6" customWidth="1"/>
    <col min="13305" max="13305" width="10" customWidth="1"/>
    <col min="13306" max="13306" width="17.375" customWidth="1"/>
    <col min="13307" max="13307" width="6.375" customWidth="1"/>
    <col min="13308" max="13308" width="6.5" customWidth="1"/>
    <col min="13309" max="13309" width="6.25" customWidth="1"/>
    <col min="13310" max="13311" width="17.625" customWidth="1"/>
    <col min="13312" max="13312" width="17.375" customWidth="1"/>
    <col min="13313" max="13314" width="16.125" customWidth="1"/>
    <col min="13315" max="13315" width="13.5" customWidth="1"/>
    <col min="13316" max="13316" width="15.125" customWidth="1"/>
    <col min="13317" max="13317" width="7.75" customWidth="1"/>
    <col min="13318" max="13318" width="16.125" customWidth="1"/>
    <col min="13319" max="13319" width="16" customWidth="1"/>
    <col min="13320" max="13320" width="14.25" customWidth="1"/>
    <col min="13321" max="13321" width="15.5" customWidth="1"/>
    <col min="13322" max="13322" width="16" customWidth="1"/>
    <col min="13323" max="13324" width="15.25" customWidth="1"/>
    <col min="13325" max="13333" width="0" hidden="1" customWidth="1"/>
    <col min="13560" max="13560" width="6" customWidth="1"/>
    <col min="13561" max="13561" width="10" customWidth="1"/>
    <col min="13562" max="13562" width="17.375" customWidth="1"/>
    <col min="13563" max="13563" width="6.375" customWidth="1"/>
    <col min="13564" max="13564" width="6.5" customWidth="1"/>
    <col min="13565" max="13565" width="6.25" customWidth="1"/>
    <col min="13566" max="13567" width="17.625" customWidth="1"/>
    <col min="13568" max="13568" width="17.375" customWidth="1"/>
    <col min="13569" max="13570" width="16.125" customWidth="1"/>
    <col min="13571" max="13571" width="13.5" customWidth="1"/>
    <col min="13572" max="13572" width="15.125" customWidth="1"/>
    <col min="13573" max="13573" width="7.75" customWidth="1"/>
    <col min="13574" max="13574" width="16.125" customWidth="1"/>
    <col min="13575" max="13575" width="16" customWidth="1"/>
    <col min="13576" max="13576" width="14.25" customWidth="1"/>
    <col min="13577" max="13577" width="15.5" customWidth="1"/>
    <col min="13578" max="13578" width="16" customWidth="1"/>
    <col min="13579" max="13580" width="15.25" customWidth="1"/>
    <col min="13581" max="13589" width="0" hidden="1" customWidth="1"/>
    <col min="13816" max="13816" width="6" customWidth="1"/>
    <col min="13817" max="13817" width="10" customWidth="1"/>
    <col min="13818" max="13818" width="17.375" customWidth="1"/>
    <col min="13819" max="13819" width="6.375" customWidth="1"/>
    <col min="13820" max="13820" width="6.5" customWidth="1"/>
    <col min="13821" max="13821" width="6.25" customWidth="1"/>
    <col min="13822" max="13823" width="17.625" customWidth="1"/>
    <col min="13824" max="13824" width="17.375" customWidth="1"/>
    <col min="13825" max="13826" width="16.125" customWidth="1"/>
    <col min="13827" max="13827" width="13.5" customWidth="1"/>
    <col min="13828" max="13828" width="15.125" customWidth="1"/>
    <col min="13829" max="13829" width="7.75" customWidth="1"/>
    <col min="13830" max="13830" width="16.125" customWidth="1"/>
    <col min="13831" max="13831" width="16" customWidth="1"/>
    <col min="13832" max="13832" width="14.25" customWidth="1"/>
    <col min="13833" max="13833" width="15.5" customWidth="1"/>
    <col min="13834" max="13834" width="16" customWidth="1"/>
    <col min="13835" max="13836" width="15.25" customWidth="1"/>
    <col min="13837" max="13845" width="0" hidden="1" customWidth="1"/>
    <col min="14072" max="14072" width="6" customWidth="1"/>
    <col min="14073" max="14073" width="10" customWidth="1"/>
    <col min="14074" max="14074" width="17.375" customWidth="1"/>
    <col min="14075" max="14075" width="6.375" customWidth="1"/>
    <col min="14076" max="14076" width="6.5" customWidth="1"/>
    <col min="14077" max="14077" width="6.25" customWidth="1"/>
    <col min="14078" max="14079" width="17.625" customWidth="1"/>
    <col min="14080" max="14080" width="17.375" customWidth="1"/>
    <col min="14081" max="14082" width="16.125" customWidth="1"/>
    <col min="14083" max="14083" width="13.5" customWidth="1"/>
    <col min="14084" max="14084" width="15.125" customWidth="1"/>
    <col min="14085" max="14085" width="7.75" customWidth="1"/>
    <col min="14086" max="14086" width="16.125" customWidth="1"/>
    <col min="14087" max="14087" width="16" customWidth="1"/>
    <col min="14088" max="14088" width="14.25" customWidth="1"/>
    <col min="14089" max="14089" width="15.5" customWidth="1"/>
    <col min="14090" max="14090" width="16" customWidth="1"/>
    <col min="14091" max="14092" width="15.25" customWidth="1"/>
    <col min="14093" max="14101" width="0" hidden="1" customWidth="1"/>
    <col min="14328" max="14328" width="6" customWidth="1"/>
    <col min="14329" max="14329" width="10" customWidth="1"/>
    <col min="14330" max="14330" width="17.375" customWidth="1"/>
    <col min="14331" max="14331" width="6.375" customWidth="1"/>
    <col min="14332" max="14332" width="6.5" customWidth="1"/>
    <col min="14333" max="14333" width="6.25" customWidth="1"/>
    <col min="14334" max="14335" width="17.625" customWidth="1"/>
    <col min="14336" max="14336" width="17.375" customWidth="1"/>
    <col min="14337" max="14338" width="16.125" customWidth="1"/>
    <col min="14339" max="14339" width="13.5" customWidth="1"/>
    <col min="14340" max="14340" width="15.125" customWidth="1"/>
    <col min="14341" max="14341" width="7.75" customWidth="1"/>
    <col min="14342" max="14342" width="16.125" customWidth="1"/>
    <col min="14343" max="14343" width="16" customWidth="1"/>
    <col min="14344" max="14344" width="14.25" customWidth="1"/>
    <col min="14345" max="14345" width="15.5" customWidth="1"/>
    <col min="14346" max="14346" width="16" customWidth="1"/>
    <col min="14347" max="14348" width="15.25" customWidth="1"/>
    <col min="14349" max="14357" width="0" hidden="1" customWidth="1"/>
    <col min="14584" max="14584" width="6" customWidth="1"/>
    <col min="14585" max="14585" width="10" customWidth="1"/>
    <col min="14586" max="14586" width="17.375" customWidth="1"/>
    <col min="14587" max="14587" width="6.375" customWidth="1"/>
    <col min="14588" max="14588" width="6.5" customWidth="1"/>
    <col min="14589" max="14589" width="6.25" customWidth="1"/>
    <col min="14590" max="14591" width="17.625" customWidth="1"/>
    <col min="14592" max="14592" width="17.375" customWidth="1"/>
    <col min="14593" max="14594" width="16.125" customWidth="1"/>
    <col min="14595" max="14595" width="13.5" customWidth="1"/>
    <col min="14596" max="14596" width="15.125" customWidth="1"/>
    <col min="14597" max="14597" width="7.75" customWidth="1"/>
    <col min="14598" max="14598" width="16.125" customWidth="1"/>
    <col min="14599" max="14599" width="16" customWidth="1"/>
    <col min="14600" max="14600" width="14.25" customWidth="1"/>
    <col min="14601" max="14601" width="15.5" customWidth="1"/>
    <col min="14602" max="14602" width="16" customWidth="1"/>
    <col min="14603" max="14604" width="15.25" customWidth="1"/>
    <col min="14605" max="14613" width="0" hidden="1" customWidth="1"/>
    <col min="14840" max="14840" width="6" customWidth="1"/>
    <col min="14841" max="14841" width="10" customWidth="1"/>
    <col min="14842" max="14842" width="17.375" customWidth="1"/>
    <col min="14843" max="14843" width="6.375" customWidth="1"/>
    <col min="14844" max="14844" width="6.5" customWidth="1"/>
    <col min="14845" max="14845" width="6.25" customWidth="1"/>
    <col min="14846" max="14847" width="17.625" customWidth="1"/>
    <col min="14848" max="14848" width="17.375" customWidth="1"/>
    <col min="14849" max="14850" width="16.125" customWidth="1"/>
    <col min="14851" max="14851" width="13.5" customWidth="1"/>
    <col min="14852" max="14852" width="15.125" customWidth="1"/>
    <col min="14853" max="14853" width="7.75" customWidth="1"/>
    <col min="14854" max="14854" width="16.125" customWidth="1"/>
    <col min="14855" max="14855" width="16" customWidth="1"/>
    <col min="14856" max="14856" width="14.25" customWidth="1"/>
    <col min="14857" max="14857" width="15.5" customWidth="1"/>
    <col min="14858" max="14858" width="16" customWidth="1"/>
    <col min="14859" max="14860" width="15.25" customWidth="1"/>
    <col min="14861" max="14869" width="0" hidden="1" customWidth="1"/>
    <col min="15096" max="15096" width="6" customWidth="1"/>
    <col min="15097" max="15097" width="10" customWidth="1"/>
    <col min="15098" max="15098" width="17.375" customWidth="1"/>
    <col min="15099" max="15099" width="6.375" customWidth="1"/>
    <col min="15100" max="15100" width="6.5" customWidth="1"/>
    <col min="15101" max="15101" width="6.25" customWidth="1"/>
    <col min="15102" max="15103" width="17.625" customWidth="1"/>
    <col min="15104" max="15104" width="17.375" customWidth="1"/>
    <col min="15105" max="15106" width="16.125" customWidth="1"/>
    <col min="15107" max="15107" width="13.5" customWidth="1"/>
    <col min="15108" max="15108" width="15.125" customWidth="1"/>
    <col min="15109" max="15109" width="7.75" customWidth="1"/>
    <col min="15110" max="15110" width="16.125" customWidth="1"/>
    <col min="15111" max="15111" width="16" customWidth="1"/>
    <col min="15112" max="15112" width="14.25" customWidth="1"/>
    <col min="15113" max="15113" width="15.5" customWidth="1"/>
    <col min="15114" max="15114" width="16" customWidth="1"/>
    <col min="15115" max="15116" width="15.25" customWidth="1"/>
    <col min="15117" max="15125" width="0" hidden="1" customWidth="1"/>
    <col min="15352" max="15352" width="6" customWidth="1"/>
    <col min="15353" max="15353" width="10" customWidth="1"/>
    <col min="15354" max="15354" width="17.375" customWidth="1"/>
    <col min="15355" max="15355" width="6.375" customWidth="1"/>
    <col min="15356" max="15356" width="6.5" customWidth="1"/>
    <col min="15357" max="15357" width="6.25" customWidth="1"/>
    <col min="15358" max="15359" width="17.625" customWidth="1"/>
    <col min="15360" max="15360" width="17.375" customWidth="1"/>
    <col min="15361" max="15362" width="16.125" customWidth="1"/>
    <col min="15363" max="15363" width="13.5" customWidth="1"/>
    <col min="15364" max="15364" width="15.125" customWidth="1"/>
    <col min="15365" max="15365" width="7.75" customWidth="1"/>
    <col min="15366" max="15366" width="16.125" customWidth="1"/>
    <col min="15367" max="15367" width="16" customWidth="1"/>
    <col min="15368" max="15368" width="14.25" customWidth="1"/>
    <col min="15369" max="15369" width="15.5" customWidth="1"/>
    <col min="15370" max="15370" width="16" customWidth="1"/>
    <col min="15371" max="15372" width="15.25" customWidth="1"/>
    <col min="15373" max="15381" width="0" hidden="1" customWidth="1"/>
    <col min="15608" max="15608" width="6" customWidth="1"/>
    <col min="15609" max="15609" width="10" customWidth="1"/>
    <col min="15610" max="15610" width="17.375" customWidth="1"/>
    <col min="15611" max="15611" width="6.375" customWidth="1"/>
    <col min="15612" max="15612" width="6.5" customWidth="1"/>
    <col min="15613" max="15613" width="6.25" customWidth="1"/>
    <col min="15614" max="15615" width="17.625" customWidth="1"/>
    <col min="15616" max="15616" width="17.375" customWidth="1"/>
    <col min="15617" max="15618" width="16.125" customWidth="1"/>
    <col min="15619" max="15619" width="13.5" customWidth="1"/>
    <col min="15620" max="15620" width="15.125" customWidth="1"/>
    <col min="15621" max="15621" width="7.75" customWidth="1"/>
    <col min="15622" max="15622" width="16.125" customWidth="1"/>
    <col min="15623" max="15623" width="16" customWidth="1"/>
    <col min="15624" max="15624" width="14.25" customWidth="1"/>
    <col min="15625" max="15625" width="15.5" customWidth="1"/>
    <col min="15626" max="15626" width="16" customWidth="1"/>
    <col min="15627" max="15628" width="15.25" customWidth="1"/>
    <col min="15629" max="15637" width="0" hidden="1" customWidth="1"/>
    <col min="15864" max="15864" width="6" customWidth="1"/>
    <col min="15865" max="15865" width="10" customWidth="1"/>
    <col min="15866" max="15866" width="17.375" customWidth="1"/>
    <col min="15867" max="15867" width="6.375" customWidth="1"/>
    <col min="15868" max="15868" width="6.5" customWidth="1"/>
    <col min="15869" max="15869" width="6.25" customWidth="1"/>
    <col min="15870" max="15871" width="17.625" customWidth="1"/>
    <col min="15872" max="15872" width="17.375" customWidth="1"/>
    <col min="15873" max="15874" width="16.125" customWidth="1"/>
    <col min="15875" max="15875" width="13.5" customWidth="1"/>
    <col min="15876" max="15876" width="15.125" customWidth="1"/>
    <col min="15877" max="15877" width="7.75" customWidth="1"/>
    <col min="15878" max="15878" width="16.125" customWidth="1"/>
    <col min="15879" max="15879" width="16" customWidth="1"/>
    <col min="15880" max="15880" width="14.25" customWidth="1"/>
    <col min="15881" max="15881" width="15.5" customWidth="1"/>
    <col min="15882" max="15882" width="16" customWidth="1"/>
    <col min="15883" max="15884" width="15.25" customWidth="1"/>
    <col min="15885" max="15893" width="0" hidden="1" customWidth="1"/>
    <col min="16120" max="16120" width="6" customWidth="1"/>
    <col min="16121" max="16121" width="10" customWidth="1"/>
    <col min="16122" max="16122" width="17.375" customWidth="1"/>
    <col min="16123" max="16123" width="6.375" customWidth="1"/>
    <col min="16124" max="16124" width="6.5" customWidth="1"/>
    <col min="16125" max="16125" width="6.25" customWidth="1"/>
    <col min="16126" max="16127" width="17.625" customWidth="1"/>
    <col min="16128" max="16128" width="17.375" customWidth="1"/>
    <col min="16129" max="16130" width="16.125" customWidth="1"/>
    <col min="16131" max="16131" width="13.5" customWidth="1"/>
    <col min="16132" max="16132" width="15.125" customWidth="1"/>
    <col min="16133" max="16133" width="7.75" customWidth="1"/>
    <col min="16134" max="16134" width="16.125" customWidth="1"/>
    <col min="16135" max="16135" width="16" customWidth="1"/>
    <col min="16136" max="16136" width="14.25" customWidth="1"/>
    <col min="16137" max="16137" width="15.5" customWidth="1"/>
    <col min="16138" max="16138" width="16" customWidth="1"/>
    <col min="16139" max="16140" width="15.25" customWidth="1"/>
    <col min="16141" max="16149" width="0" hidden="1" customWidth="1"/>
  </cols>
  <sheetData>
    <row r="1" spans="1:21" ht="35.1" customHeight="1" x14ac:dyDescent="0.3">
      <c r="A1" s="279" t="s">
        <v>307</v>
      </c>
      <c r="B1" s="279"/>
      <c r="C1" s="279"/>
      <c r="D1" s="280"/>
      <c r="E1" s="279"/>
      <c r="F1" s="279"/>
      <c r="G1" s="279"/>
      <c r="H1" s="280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1"/>
    </row>
    <row r="2" spans="1:21" ht="24.75" customHeight="1" x14ac:dyDescent="0.3">
      <c r="A2" s="281" t="s">
        <v>77</v>
      </c>
      <c r="B2" s="281"/>
      <c r="C2" s="96"/>
      <c r="E2" s="4"/>
      <c r="F2" s="4"/>
      <c r="G2" s="5"/>
      <c r="I2" s="95"/>
      <c r="J2" s="5"/>
      <c r="K2" s="7" t="s">
        <v>113</v>
      </c>
      <c r="L2" s="7"/>
      <c r="M2" s="5"/>
      <c r="N2" s="5"/>
      <c r="O2" s="5"/>
      <c r="P2" s="5"/>
      <c r="Q2" s="5"/>
      <c r="R2" s="5"/>
      <c r="S2" s="5"/>
      <c r="U2" s="7" t="s">
        <v>77</v>
      </c>
    </row>
    <row r="3" spans="1:21" ht="24" customHeight="1" x14ac:dyDescent="0.3">
      <c r="A3" s="272" t="s">
        <v>71</v>
      </c>
      <c r="B3" s="272" t="s">
        <v>67</v>
      </c>
      <c r="C3" s="272" t="s">
        <v>66</v>
      </c>
      <c r="D3" s="272" t="s">
        <v>65</v>
      </c>
      <c r="E3" s="275" t="s">
        <v>57</v>
      </c>
      <c r="F3" s="276"/>
      <c r="G3" s="261" t="s">
        <v>139</v>
      </c>
      <c r="H3" s="270" t="s">
        <v>134</v>
      </c>
      <c r="I3" s="271"/>
      <c r="J3" s="261" t="s">
        <v>149</v>
      </c>
      <c r="K3" s="263" t="s">
        <v>62</v>
      </c>
      <c r="L3" s="263" t="s">
        <v>122</v>
      </c>
      <c r="M3" s="265"/>
      <c r="N3" s="266"/>
      <c r="O3" s="266"/>
      <c r="P3" s="266"/>
      <c r="Q3" s="266"/>
      <c r="R3" s="266"/>
      <c r="S3" s="267"/>
      <c r="T3" s="268"/>
      <c r="U3" s="259"/>
    </row>
    <row r="4" spans="1:21" ht="24" customHeight="1" x14ac:dyDescent="0.3">
      <c r="A4" s="273"/>
      <c r="B4" s="273"/>
      <c r="C4" s="273"/>
      <c r="D4" s="273"/>
      <c r="E4" s="277"/>
      <c r="F4" s="278"/>
      <c r="G4" s="262"/>
      <c r="H4" s="8" t="s">
        <v>56</v>
      </c>
      <c r="I4" s="9" t="s">
        <v>42</v>
      </c>
      <c r="J4" s="262"/>
      <c r="K4" s="264"/>
      <c r="L4" s="264"/>
      <c r="M4" s="9" t="s">
        <v>152</v>
      </c>
      <c r="N4" s="10" t="s">
        <v>132</v>
      </c>
      <c r="O4" s="9" t="s">
        <v>141</v>
      </c>
      <c r="P4" s="9" t="s">
        <v>136</v>
      </c>
      <c r="Q4" s="9" t="s">
        <v>144</v>
      </c>
      <c r="R4" s="9" t="s">
        <v>135</v>
      </c>
      <c r="S4" s="10" t="s">
        <v>150</v>
      </c>
      <c r="T4" s="269"/>
      <c r="U4" s="260"/>
    </row>
    <row r="5" spans="1:21" ht="30" customHeight="1" x14ac:dyDescent="0.3">
      <c r="A5" s="274"/>
      <c r="B5" s="274"/>
      <c r="C5" s="274"/>
      <c r="D5" s="274"/>
      <c r="E5" s="11">
        <f t="shared" ref="E5:K5" si="0">SUM(E6:E21)</f>
        <v>43849000</v>
      </c>
      <c r="F5" s="11">
        <f t="shared" si="0"/>
        <v>468720000</v>
      </c>
      <c r="G5" s="11">
        <f t="shared" si="0"/>
        <v>47692800</v>
      </c>
      <c r="H5" s="11">
        <f t="shared" si="0"/>
        <v>406</v>
      </c>
      <c r="I5" s="11">
        <f t="shared" si="0"/>
        <v>75094530</v>
      </c>
      <c r="J5" s="11">
        <f t="shared" si="0"/>
        <v>10560000</v>
      </c>
      <c r="K5" s="11">
        <f t="shared" si="0"/>
        <v>602067330</v>
      </c>
      <c r="L5" s="74" t="e">
        <f t="shared" ref="L5:U5" si="1">SUM(L6:L17)</f>
        <v>#REF!</v>
      </c>
      <c r="M5" s="11" t="e">
        <f t="shared" si="1"/>
        <v>#REF!</v>
      </c>
      <c r="N5" s="11" t="e">
        <f t="shared" si="1"/>
        <v>#REF!</v>
      </c>
      <c r="O5" s="11" t="e">
        <f t="shared" si="1"/>
        <v>#REF!</v>
      </c>
      <c r="P5" s="11" t="e">
        <f t="shared" si="1"/>
        <v>#REF!</v>
      </c>
      <c r="Q5" s="11" t="e">
        <f t="shared" si="1"/>
        <v>#REF!</v>
      </c>
      <c r="R5" s="11">
        <f t="shared" si="1"/>
        <v>41636620</v>
      </c>
      <c r="S5" s="11" t="e">
        <f t="shared" si="1"/>
        <v>#REF!</v>
      </c>
      <c r="T5" s="11" t="e">
        <f t="shared" si="1"/>
        <v>#REF!</v>
      </c>
      <c r="U5" s="12" t="e">
        <f t="shared" si="1"/>
        <v>#REF!</v>
      </c>
    </row>
    <row r="6" spans="1:21" ht="30" customHeight="1" x14ac:dyDescent="0.3">
      <c r="A6" s="13">
        <v>1</v>
      </c>
      <c r="B6" s="13" t="s">
        <v>157</v>
      </c>
      <c r="C6" s="13" t="s">
        <v>74</v>
      </c>
      <c r="D6" s="14">
        <v>24</v>
      </c>
      <c r="E6" s="15">
        <v>4797000</v>
      </c>
      <c r="F6" s="15">
        <f t="shared" ref="F6:F8" si="2">E6*12</f>
        <v>57564000</v>
      </c>
      <c r="G6" s="15">
        <f>E6*0.6*2</f>
        <v>5756400</v>
      </c>
      <c r="H6" s="15"/>
      <c r="I6" s="15"/>
      <c r="J6" s="15">
        <f>100000*12</f>
        <v>1200000</v>
      </c>
      <c r="K6" s="75">
        <f>F6+G6+I6+J6</f>
        <v>64520400</v>
      </c>
      <c r="L6" s="75" t="e">
        <f>#REF!+120000</f>
        <v>#REF!</v>
      </c>
      <c r="M6" s="16" t="e">
        <f t="shared" ref="M6:M17" si="3">ROUNDDOWN(L6*2.995%,-1)</f>
        <v>#REF!</v>
      </c>
      <c r="N6" s="16" t="e">
        <f t="shared" ref="N6:N17" si="4">ROUNDDOWN(M6*6.55%,-1)</f>
        <v>#REF!</v>
      </c>
      <c r="O6" s="16" t="e">
        <f t="shared" ref="O6:O17" si="5">ROUNDDOWN(L6*0.045,-1)</f>
        <v>#REF!</v>
      </c>
      <c r="P6" s="16" t="e">
        <f t="shared" ref="P6:P17" si="6">ROUNDDOWN(L6*0.0056,-1)</f>
        <v>#REF!</v>
      </c>
      <c r="Q6" s="16" t="e">
        <f t="shared" ref="Q6:Q17" si="7">ROUNDDOWN(L6*0.009,-1)</f>
        <v>#REF!</v>
      </c>
      <c r="R6" s="16">
        <f t="shared" ref="R6:R7" si="8">ROUNDDOWN(K6/12,-1)</f>
        <v>5376700</v>
      </c>
      <c r="S6" s="16" t="e">
        <f t="shared" ref="S6:S17" si="9">SUM(M6:R6)</f>
        <v>#REF!</v>
      </c>
      <c r="T6" s="17" t="e">
        <f>#REF!+#REF!+S6-#REF!</f>
        <v>#REF!</v>
      </c>
      <c r="U6" s="18" t="e">
        <f>#REF!+#REF!+S6</f>
        <v>#REF!</v>
      </c>
    </row>
    <row r="7" spans="1:21" ht="30" customHeight="1" x14ac:dyDescent="0.3">
      <c r="A7" s="13">
        <v>2</v>
      </c>
      <c r="B7" s="19" t="s">
        <v>124</v>
      </c>
      <c r="C7" s="19" t="s">
        <v>185</v>
      </c>
      <c r="D7" s="14">
        <v>22</v>
      </c>
      <c r="E7" s="15">
        <v>3903000</v>
      </c>
      <c r="F7" s="15">
        <f t="shared" si="2"/>
        <v>46836000</v>
      </c>
      <c r="G7" s="15">
        <f t="shared" ref="G7:G8" si="10">E7*0.6*2</f>
        <v>4683600</v>
      </c>
      <c r="H7" s="15">
        <v>8</v>
      </c>
      <c r="I7" s="15">
        <f t="shared" ref="I7:I8" si="11">ROUNDDOWN(F7*1/209*1.5*H7,-1)</f>
        <v>2689140</v>
      </c>
      <c r="J7" s="15">
        <f>120000*12</f>
        <v>1440000</v>
      </c>
      <c r="K7" s="75">
        <f t="shared" ref="K7:K8" si="12">F7+G7+I7+J7</f>
        <v>55648740</v>
      </c>
      <c r="L7" s="75" t="e">
        <f>#REF!+120000</f>
        <v>#REF!</v>
      </c>
      <c r="M7" s="16" t="e">
        <f t="shared" si="3"/>
        <v>#REF!</v>
      </c>
      <c r="N7" s="16" t="e">
        <f t="shared" si="4"/>
        <v>#REF!</v>
      </c>
      <c r="O7" s="16" t="e">
        <f t="shared" si="5"/>
        <v>#REF!</v>
      </c>
      <c r="P7" s="16" t="e">
        <f t="shared" si="6"/>
        <v>#REF!</v>
      </c>
      <c r="Q7" s="16" t="e">
        <f t="shared" si="7"/>
        <v>#REF!</v>
      </c>
      <c r="R7" s="16">
        <f t="shared" si="8"/>
        <v>4637390</v>
      </c>
      <c r="S7" s="16" t="e">
        <f t="shared" si="9"/>
        <v>#REF!</v>
      </c>
      <c r="T7" s="17" t="e">
        <f>#REF!+#REF!+S7-#REF!</f>
        <v>#REF!</v>
      </c>
      <c r="U7" s="18" t="e">
        <f>#REF!+#REF!+S7</f>
        <v>#REF!</v>
      </c>
    </row>
    <row r="8" spans="1:21" ht="30" customHeight="1" x14ac:dyDescent="0.3">
      <c r="A8" s="13">
        <v>3</v>
      </c>
      <c r="B8" s="19" t="s">
        <v>184</v>
      </c>
      <c r="C8" s="19" t="s">
        <v>186</v>
      </c>
      <c r="D8" s="14">
        <v>20</v>
      </c>
      <c r="E8" s="15">
        <v>3186000</v>
      </c>
      <c r="F8" s="15">
        <f t="shared" si="2"/>
        <v>38232000</v>
      </c>
      <c r="G8" s="15">
        <f t="shared" si="10"/>
        <v>3823200</v>
      </c>
      <c r="H8" s="15">
        <v>8</v>
      </c>
      <c r="I8" s="15">
        <f t="shared" si="11"/>
        <v>2195130</v>
      </c>
      <c r="J8" s="15">
        <f>40000*12</f>
        <v>480000</v>
      </c>
      <c r="K8" s="75">
        <f t="shared" si="12"/>
        <v>44730330</v>
      </c>
      <c r="L8" s="75"/>
      <c r="M8" s="16"/>
      <c r="N8" s="16"/>
      <c r="O8" s="16"/>
      <c r="P8" s="16"/>
      <c r="Q8" s="16"/>
      <c r="R8" s="16"/>
      <c r="S8" s="16"/>
      <c r="T8" s="17"/>
      <c r="U8" s="18"/>
    </row>
    <row r="9" spans="1:21" ht="30" customHeight="1" x14ac:dyDescent="0.3">
      <c r="A9" s="13">
        <v>4</v>
      </c>
      <c r="B9" s="13" t="s">
        <v>187</v>
      </c>
      <c r="C9" s="13" t="s">
        <v>51</v>
      </c>
      <c r="D9" s="14">
        <v>22</v>
      </c>
      <c r="E9" s="15">
        <v>3282000</v>
      </c>
      <c r="F9" s="15">
        <f t="shared" ref="F9:F17" si="13">E9*12</f>
        <v>39384000</v>
      </c>
      <c r="G9" s="15">
        <f t="shared" ref="G9:G17" si="14">E9*0.6*2</f>
        <v>3938400</v>
      </c>
      <c r="H9" s="15">
        <v>30</v>
      </c>
      <c r="I9" s="15">
        <f t="shared" ref="I9:I19" si="15">ROUNDDOWN(F9*1/209*1.5*H9,-1)</f>
        <v>8479800</v>
      </c>
      <c r="J9" s="15"/>
      <c r="K9" s="75">
        <f t="shared" ref="K9:K19" si="16">F9+G9+I9+J9</f>
        <v>51802200</v>
      </c>
      <c r="L9" s="75" t="e">
        <f>#REF!+120000</f>
        <v>#REF!</v>
      </c>
      <c r="M9" s="16" t="e">
        <f t="shared" si="3"/>
        <v>#REF!</v>
      </c>
      <c r="N9" s="16" t="e">
        <f t="shared" si="4"/>
        <v>#REF!</v>
      </c>
      <c r="O9" s="16" t="e">
        <f t="shared" si="5"/>
        <v>#REF!</v>
      </c>
      <c r="P9" s="16" t="e">
        <f t="shared" si="6"/>
        <v>#REF!</v>
      </c>
      <c r="Q9" s="16" t="e">
        <f t="shared" si="7"/>
        <v>#REF!</v>
      </c>
      <c r="R9" s="16">
        <f t="shared" ref="R9:R17" si="17">ROUNDDOWN(K9/12,-1)</f>
        <v>4316850</v>
      </c>
      <c r="S9" s="16" t="e">
        <f t="shared" si="9"/>
        <v>#REF!</v>
      </c>
      <c r="T9" s="17" t="e">
        <f>#REF!+#REF!+S9-#REF!</f>
        <v>#REF!</v>
      </c>
      <c r="U9" s="18" t="e">
        <f>#REF!+#REF!+S9</f>
        <v>#REF!</v>
      </c>
    </row>
    <row r="10" spans="1:21" ht="30" customHeight="1" x14ac:dyDescent="0.3">
      <c r="A10" s="13">
        <v>5</v>
      </c>
      <c r="B10" s="13" t="s">
        <v>187</v>
      </c>
      <c r="C10" s="19" t="s">
        <v>78</v>
      </c>
      <c r="D10" s="14">
        <v>19</v>
      </c>
      <c r="E10" s="15">
        <v>3133000</v>
      </c>
      <c r="F10" s="15">
        <f t="shared" si="13"/>
        <v>37596000</v>
      </c>
      <c r="G10" s="15">
        <f t="shared" si="14"/>
        <v>3759600</v>
      </c>
      <c r="H10" s="15">
        <v>30</v>
      </c>
      <c r="I10" s="15">
        <f t="shared" si="15"/>
        <v>8094830</v>
      </c>
      <c r="J10" s="15">
        <v>1440000</v>
      </c>
      <c r="K10" s="75">
        <f t="shared" si="16"/>
        <v>50890430</v>
      </c>
      <c r="L10" s="75" t="e">
        <f>#REF!+120000</f>
        <v>#REF!</v>
      </c>
      <c r="M10" s="16" t="e">
        <f t="shared" si="3"/>
        <v>#REF!</v>
      </c>
      <c r="N10" s="16" t="e">
        <f t="shared" si="4"/>
        <v>#REF!</v>
      </c>
      <c r="O10" s="16" t="e">
        <f t="shared" si="5"/>
        <v>#REF!</v>
      </c>
      <c r="P10" s="16" t="e">
        <f t="shared" si="6"/>
        <v>#REF!</v>
      </c>
      <c r="Q10" s="16" t="e">
        <f t="shared" si="7"/>
        <v>#REF!</v>
      </c>
      <c r="R10" s="16">
        <f t="shared" si="17"/>
        <v>4240860</v>
      </c>
      <c r="S10" s="16" t="e">
        <f t="shared" si="9"/>
        <v>#REF!</v>
      </c>
      <c r="T10" s="17" t="e">
        <f>#REF!+#REF!+S10-#REF!</f>
        <v>#REF!</v>
      </c>
      <c r="U10" s="18" t="e">
        <f>#REF!+#REF!+S10</f>
        <v>#REF!</v>
      </c>
    </row>
    <row r="11" spans="1:21" ht="30" customHeight="1" x14ac:dyDescent="0.3">
      <c r="A11" s="13">
        <v>6</v>
      </c>
      <c r="B11" s="13" t="s">
        <v>187</v>
      </c>
      <c r="C11" s="19" t="s">
        <v>75</v>
      </c>
      <c r="D11" s="14">
        <v>12</v>
      </c>
      <c r="E11" s="15">
        <v>2697000</v>
      </c>
      <c r="F11" s="15">
        <f t="shared" si="13"/>
        <v>32364000</v>
      </c>
      <c r="G11" s="15">
        <f t="shared" si="14"/>
        <v>3236400</v>
      </c>
      <c r="H11" s="15">
        <v>30</v>
      </c>
      <c r="I11" s="15">
        <f t="shared" si="15"/>
        <v>6968320</v>
      </c>
      <c r="J11" s="15">
        <f>40000*12</f>
        <v>480000</v>
      </c>
      <c r="K11" s="75">
        <f t="shared" si="16"/>
        <v>43048720</v>
      </c>
      <c r="L11" s="75" t="e">
        <f>#REF!+120000</f>
        <v>#REF!</v>
      </c>
      <c r="M11" s="16" t="e">
        <f t="shared" si="3"/>
        <v>#REF!</v>
      </c>
      <c r="N11" s="16" t="e">
        <f t="shared" si="4"/>
        <v>#REF!</v>
      </c>
      <c r="O11" s="16" t="e">
        <f t="shared" si="5"/>
        <v>#REF!</v>
      </c>
      <c r="P11" s="16" t="e">
        <f t="shared" si="6"/>
        <v>#REF!</v>
      </c>
      <c r="Q11" s="16" t="e">
        <f t="shared" si="7"/>
        <v>#REF!</v>
      </c>
      <c r="R11" s="16">
        <f t="shared" si="17"/>
        <v>3587390</v>
      </c>
      <c r="S11" s="16" t="e">
        <f t="shared" si="9"/>
        <v>#REF!</v>
      </c>
      <c r="T11" s="17" t="e">
        <f>#REF!+#REF!+S11-#REF!</f>
        <v>#REF!</v>
      </c>
      <c r="U11" s="18" t="e">
        <f>#REF!+#REF!+S11</f>
        <v>#REF!</v>
      </c>
    </row>
    <row r="12" spans="1:21" ht="30" customHeight="1" x14ac:dyDescent="0.3">
      <c r="A12" s="13">
        <v>7</v>
      </c>
      <c r="B12" s="13" t="s">
        <v>187</v>
      </c>
      <c r="C12" s="19" t="s">
        <v>175</v>
      </c>
      <c r="D12" s="14">
        <v>14</v>
      </c>
      <c r="E12" s="15">
        <v>2828000</v>
      </c>
      <c r="F12" s="15">
        <f t="shared" si="13"/>
        <v>33936000</v>
      </c>
      <c r="G12" s="15">
        <f t="shared" si="14"/>
        <v>3393600</v>
      </c>
      <c r="H12" s="15">
        <v>30</v>
      </c>
      <c r="I12" s="15">
        <f t="shared" si="15"/>
        <v>7306790</v>
      </c>
      <c r="J12" s="15"/>
      <c r="K12" s="75">
        <f t="shared" si="16"/>
        <v>44636390</v>
      </c>
      <c r="L12" s="75" t="e">
        <f>#REF!+120000</f>
        <v>#REF!</v>
      </c>
      <c r="M12" s="16" t="e">
        <f t="shared" si="3"/>
        <v>#REF!</v>
      </c>
      <c r="N12" s="16" t="e">
        <f t="shared" si="4"/>
        <v>#REF!</v>
      </c>
      <c r="O12" s="16" t="e">
        <f t="shared" si="5"/>
        <v>#REF!</v>
      </c>
      <c r="P12" s="16" t="e">
        <f t="shared" si="6"/>
        <v>#REF!</v>
      </c>
      <c r="Q12" s="16" t="e">
        <f t="shared" si="7"/>
        <v>#REF!</v>
      </c>
      <c r="R12" s="16">
        <f t="shared" si="17"/>
        <v>3719690</v>
      </c>
      <c r="S12" s="16" t="e">
        <f t="shared" si="9"/>
        <v>#REF!</v>
      </c>
      <c r="T12" s="17" t="e">
        <f>#REF!+#REF!+S12-#REF!</f>
        <v>#REF!</v>
      </c>
      <c r="U12" s="18" t="e">
        <f>#REF!+#REF!+S12</f>
        <v>#REF!</v>
      </c>
    </row>
    <row r="13" spans="1:21" ht="30" customHeight="1" x14ac:dyDescent="0.3">
      <c r="A13" s="13">
        <v>8</v>
      </c>
      <c r="B13" s="13" t="s">
        <v>187</v>
      </c>
      <c r="C13" s="19" t="s">
        <v>177</v>
      </c>
      <c r="D13" s="14">
        <v>11</v>
      </c>
      <c r="E13" s="15">
        <v>2629000</v>
      </c>
      <c r="F13" s="15">
        <f t="shared" si="13"/>
        <v>31548000</v>
      </c>
      <c r="G13" s="15">
        <f t="shared" si="14"/>
        <v>3154800</v>
      </c>
      <c r="H13" s="15">
        <v>30</v>
      </c>
      <c r="I13" s="15">
        <f t="shared" si="15"/>
        <v>6792630</v>
      </c>
      <c r="J13" s="15">
        <f>40000*12</f>
        <v>480000</v>
      </c>
      <c r="K13" s="75">
        <f t="shared" si="16"/>
        <v>41975430</v>
      </c>
      <c r="L13" s="75" t="e">
        <f>#REF!+120000</f>
        <v>#REF!</v>
      </c>
      <c r="M13" s="16" t="e">
        <f t="shared" si="3"/>
        <v>#REF!</v>
      </c>
      <c r="N13" s="16" t="e">
        <f t="shared" si="4"/>
        <v>#REF!</v>
      </c>
      <c r="O13" s="16" t="e">
        <f t="shared" si="5"/>
        <v>#REF!</v>
      </c>
      <c r="P13" s="16" t="e">
        <f t="shared" si="6"/>
        <v>#REF!</v>
      </c>
      <c r="Q13" s="16" t="e">
        <f t="shared" si="7"/>
        <v>#REF!</v>
      </c>
      <c r="R13" s="16">
        <f t="shared" si="17"/>
        <v>3497950</v>
      </c>
      <c r="S13" s="16" t="e">
        <f t="shared" si="9"/>
        <v>#REF!</v>
      </c>
      <c r="T13" s="17" t="e">
        <f>#REF!+#REF!+S13-#REF!</f>
        <v>#REF!</v>
      </c>
      <c r="U13" s="18" t="e">
        <f>#REF!+#REF!+S13</f>
        <v>#REF!</v>
      </c>
    </row>
    <row r="14" spans="1:21" ht="30" customHeight="1" x14ac:dyDescent="0.3">
      <c r="A14" s="13">
        <v>9</v>
      </c>
      <c r="B14" s="13" t="s">
        <v>187</v>
      </c>
      <c r="C14" s="19" t="s">
        <v>188</v>
      </c>
      <c r="D14" s="14">
        <v>9</v>
      </c>
      <c r="E14" s="15">
        <v>2455000</v>
      </c>
      <c r="F14" s="15">
        <f t="shared" si="13"/>
        <v>29460000</v>
      </c>
      <c r="G14" s="15">
        <f t="shared" si="14"/>
        <v>2946000</v>
      </c>
      <c r="H14" s="15">
        <v>30</v>
      </c>
      <c r="I14" s="15">
        <f t="shared" si="15"/>
        <v>6343060</v>
      </c>
      <c r="J14" s="15">
        <f>100000*12</f>
        <v>1200000</v>
      </c>
      <c r="K14" s="75">
        <f t="shared" si="16"/>
        <v>39949060</v>
      </c>
      <c r="L14" s="75" t="e">
        <f>#REF!+120000</f>
        <v>#REF!</v>
      </c>
      <c r="M14" s="16" t="e">
        <f t="shared" si="3"/>
        <v>#REF!</v>
      </c>
      <c r="N14" s="16" t="e">
        <f t="shared" si="4"/>
        <v>#REF!</v>
      </c>
      <c r="O14" s="16" t="e">
        <f t="shared" si="5"/>
        <v>#REF!</v>
      </c>
      <c r="P14" s="16" t="e">
        <f t="shared" si="6"/>
        <v>#REF!</v>
      </c>
      <c r="Q14" s="16" t="e">
        <f t="shared" si="7"/>
        <v>#REF!</v>
      </c>
      <c r="R14" s="16">
        <f t="shared" si="17"/>
        <v>3329080</v>
      </c>
      <c r="S14" s="16" t="e">
        <f t="shared" si="9"/>
        <v>#REF!</v>
      </c>
      <c r="T14" s="17" t="e">
        <f>#REF!+#REF!+S14-#REF!</f>
        <v>#REF!</v>
      </c>
      <c r="U14" s="18" t="e">
        <f>#REF!+#REF!+S14</f>
        <v>#REF!</v>
      </c>
    </row>
    <row r="15" spans="1:21" ht="30" customHeight="1" x14ac:dyDescent="0.3">
      <c r="A15" s="13">
        <v>10</v>
      </c>
      <c r="B15" s="13" t="s">
        <v>187</v>
      </c>
      <c r="C15" s="19" t="s">
        <v>189</v>
      </c>
      <c r="D15" s="14">
        <v>10</v>
      </c>
      <c r="E15" s="15">
        <v>2545000</v>
      </c>
      <c r="F15" s="15">
        <f t="shared" si="13"/>
        <v>30540000</v>
      </c>
      <c r="G15" s="15">
        <f t="shared" si="14"/>
        <v>3054000</v>
      </c>
      <c r="H15" s="15">
        <v>30</v>
      </c>
      <c r="I15" s="15">
        <f t="shared" si="15"/>
        <v>6575590</v>
      </c>
      <c r="J15" s="15"/>
      <c r="K15" s="75">
        <f t="shared" si="16"/>
        <v>40169590</v>
      </c>
      <c r="L15" s="75" t="e">
        <f>#REF!+120000</f>
        <v>#REF!</v>
      </c>
      <c r="M15" s="16" t="e">
        <f t="shared" si="3"/>
        <v>#REF!</v>
      </c>
      <c r="N15" s="16" t="e">
        <f t="shared" si="4"/>
        <v>#REF!</v>
      </c>
      <c r="O15" s="16" t="e">
        <f t="shared" si="5"/>
        <v>#REF!</v>
      </c>
      <c r="P15" s="16" t="e">
        <f t="shared" si="6"/>
        <v>#REF!</v>
      </c>
      <c r="Q15" s="16" t="e">
        <f t="shared" si="7"/>
        <v>#REF!</v>
      </c>
      <c r="R15" s="16">
        <f t="shared" si="17"/>
        <v>3347460</v>
      </c>
      <c r="S15" s="16" t="e">
        <f t="shared" si="9"/>
        <v>#REF!</v>
      </c>
      <c r="T15" s="17" t="e">
        <f>#REF!+#REF!+S15-#REF!</f>
        <v>#REF!</v>
      </c>
      <c r="U15" s="18" t="e">
        <f>#REF!+#REF!+S15</f>
        <v>#REF!</v>
      </c>
    </row>
    <row r="16" spans="1:21" ht="30" customHeight="1" x14ac:dyDescent="0.3">
      <c r="A16" s="13">
        <v>11</v>
      </c>
      <c r="B16" s="13" t="s">
        <v>187</v>
      </c>
      <c r="C16" s="19" t="s">
        <v>201</v>
      </c>
      <c r="D16" s="14">
        <v>5</v>
      </c>
      <c r="E16" s="15">
        <v>2114000</v>
      </c>
      <c r="F16" s="15">
        <f t="shared" si="13"/>
        <v>25368000</v>
      </c>
      <c r="G16" s="15">
        <f t="shared" si="14"/>
        <v>2536800</v>
      </c>
      <c r="H16" s="15">
        <v>30</v>
      </c>
      <c r="I16" s="15">
        <f t="shared" si="15"/>
        <v>5462000</v>
      </c>
      <c r="J16" s="15">
        <f>40000*12</f>
        <v>480000</v>
      </c>
      <c r="K16" s="75">
        <f t="shared" si="16"/>
        <v>33846800</v>
      </c>
      <c r="L16" s="75" t="e">
        <f>#REF!+120000</f>
        <v>#REF!</v>
      </c>
      <c r="M16" s="16" t="e">
        <f t="shared" si="3"/>
        <v>#REF!</v>
      </c>
      <c r="N16" s="16" t="e">
        <f t="shared" si="4"/>
        <v>#REF!</v>
      </c>
      <c r="O16" s="16" t="e">
        <f t="shared" si="5"/>
        <v>#REF!</v>
      </c>
      <c r="P16" s="16" t="e">
        <f t="shared" si="6"/>
        <v>#REF!</v>
      </c>
      <c r="Q16" s="16" t="e">
        <f t="shared" si="7"/>
        <v>#REF!</v>
      </c>
      <c r="R16" s="16">
        <f t="shared" si="17"/>
        <v>2820560</v>
      </c>
      <c r="S16" s="16" t="e">
        <f t="shared" si="9"/>
        <v>#REF!</v>
      </c>
      <c r="T16" s="17" t="e">
        <f>#REF!+#REF!+S16-#REF!</f>
        <v>#REF!</v>
      </c>
      <c r="U16" s="18" t="e">
        <f>#REF!+#REF!+S16</f>
        <v>#REF!</v>
      </c>
    </row>
    <row r="17" spans="1:21" ht="30" customHeight="1" x14ac:dyDescent="0.3">
      <c r="A17" s="13">
        <v>12</v>
      </c>
      <c r="B17" s="13" t="s">
        <v>190</v>
      </c>
      <c r="C17" s="19" t="s">
        <v>263</v>
      </c>
      <c r="D17" s="14">
        <v>7</v>
      </c>
      <c r="E17" s="15">
        <v>2070000</v>
      </c>
      <c r="F17" s="15">
        <f t="shared" si="13"/>
        <v>24840000</v>
      </c>
      <c r="G17" s="15">
        <f t="shared" si="14"/>
        <v>2484000</v>
      </c>
      <c r="H17" s="15">
        <v>30</v>
      </c>
      <c r="I17" s="15">
        <f t="shared" si="15"/>
        <v>5348320</v>
      </c>
      <c r="J17" s="15">
        <f>40000*12</f>
        <v>480000</v>
      </c>
      <c r="K17" s="75">
        <f t="shared" si="16"/>
        <v>33152320</v>
      </c>
      <c r="L17" s="75" t="e">
        <f>#REF!+120000</f>
        <v>#REF!</v>
      </c>
      <c r="M17" s="16" t="e">
        <f t="shared" si="3"/>
        <v>#REF!</v>
      </c>
      <c r="N17" s="16" t="e">
        <f t="shared" si="4"/>
        <v>#REF!</v>
      </c>
      <c r="O17" s="16" t="e">
        <f t="shared" si="5"/>
        <v>#REF!</v>
      </c>
      <c r="P17" s="16" t="e">
        <f t="shared" si="6"/>
        <v>#REF!</v>
      </c>
      <c r="Q17" s="16" t="e">
        <f t="shared" si="7"/>
        <v>#REF!</v>
      </c>
      <c r="R17" s="16">
        <f t="shared" si="17"/>
        <v>2762690</v>
      </c>
      <c r="S17" s="16" t="e">
        <f t="shared" si="9"/>
        <v>#REF!</v>
      </c>
      <c r="T17" s="17" t="e">
        <f>#REF!+#REF!+S17-#REF!</f>
        <v>#REF!</v>
      </c>
      <c r="U17" s="18" t="e">
        <f>#REF!+#REF!+S17</f>
        <v>#REF!</v>
      </c>
    </row>
    <row r="18" spans="1:21" ht="29.25" customHeight="1" x14ac:dyDescent="0.3">
      <c r="A18" s="13">
        <v>13</v>
      </c>
      <c r="B18" s="183" t="s">
        <v>217</v>
      </c>
      <c r="C18" s="183" t="s">
        <v>264</v>
      </c>
      <c r="D18" s="182">
        <v>5</v>
      </c>
      <c r="E18" s="15">
        <v>2114000</v>
      </c>
      <c r="F18" s="15">
        <f>E18*6</f>
        <v>12684000</v>
      </c>
      <c r="G18" s="15">
        <f>E18*0.6</f>
        <v>1268400</v>
      </c>
      <c r="H18" s="15">
        <v>30</v>
      </c>
      <c r="I18" s="15">
        <f t="shared" si="15"/>
        <v>2731000</v>
      </c>
      <c r="J18" s="15">
        <f>120000*6</f>
        <v>720000</v>
      </c>
      <c r="K18" s="75">
        <f t="shared" si="16"/>
        <v>17403400</v>
      </c>
      <c r="L18" s="21"/>
    </row>
    <row r="19" spans="1:21" ht="29.25" customHeight="1" x14ac:dyDescent="0.3">
      <c r="A19" s="13">
        <v>14</v>
      </c>
      <c r="B19" s="183" t="s">
        <v>217</v>
      </c>
      <c r="C19" s="183" t="s">
        <v>265</v>
      </c>
      <c r="D19" s="182">
        <v>3</v>
      </c>
      <c r="E19" s="15">
        <v>1992000</v>
      </c>
      <c r="F19" s="15">
        <f t="shared" ref="F19:F20" si="18">E19*6</f>
        <v>11952000</v>
      </c>
      <c r="G19" s="15">
        <f t="shared" ref="G19:G21" si="19">E19*0.6</f>
        <v>1195200</v>
      </c>
      <c r="H19" s="15">
        <v>30</v>
      </c>
      <c r="I19" s="15">
        <f t="shared" si="15"/>
        <v>2573390</v>
      </c>
      <c r="J19" s="15">
        <f t="shared" ref="J19:J21" si="20">120000*6</f>
        <v>720000</v>
      </c>
      <c r="K19" s="75">
        <f t="shared" si="16"/>
        <v>16440590</v>
      </c>
      <c r="L19" s="5"/>
    </row>
    <row r="20" spans="1:21" ht="33.75" customHeight="1" x14ac:dyDescent="0.3">
      <c r="A20" s="13">
        <v>15</v>
      </c>
      <c r="B20" s="183" t="s">
        <v>217</v>
      </c>
      <c r="C20" s="183" t="s">
        <v>266</v>
      </c>
      <c r="D20" s="182">
        <v>4</v>
      </c>
      <c r="E20" s="15">
        <v>2052000</v>
      </c>
      <c r="F20" s="15">
        <f t="shared" si="18"/>
        <v>12312000</v>
      </c>
      <c r="G20" s="15">
        <f t="shared" si="19"/>
        <v>1231200</v>
      </c>
      <c r="H20" s="15">
        <v>30</v>
      </c>
      <c r="I20" s="15">
        <f t="shared" ref="I20:I21" si="21">ROUNDDOWN(F20*1/209*1.5*H20,-1)</f>
        <v>2650900</v>
      </c>
      <c r="J20" s="15">
        <f t="shared" si="20"/>
        <v>720000</v>
      </c>
      <c r="K20" s="75">
        <f t="shared" ref="K20:K21" si="22">F20+G20+I20+J20</f>
        <v>16914100</v>
      </c>
    </row>
    <row r="21" spans="1:21" ht="33.75" customHeight="1" x14ac:dyDescent="0.3">
      <c r="A21" s="13">
        <v>16</v>
      </c>
      <c r="B21" s="183" t="s">
        <v>217</v>
      </c>
      <c r="C21" s="183" t="s">
        <v>267</v>
      </c>
      <c r="D21" s="182">
        <v>4</v>
      </c>
      <c r="E21" s="15">
        <v>2052000</v>
      </c>
      <c r="F21" s="15">
        <f>E21*2</f>
        <v>4104000</v>
      </c>
      <c r="G21" s="15">
        <f t="shared" si="19"/>
        <v>1231200</v>
      </c>
      <c r="H21" s="15">
        <v>30</v>
      </c>
      <c r="I21" s="15">
        <f t="shared" si="21"/>
        <v>883630</v>
      </c>
      <c r="J21" s="15">
        <f t="shared" si="20"/>
        <v>720000</v>
      </c>
      <c r="K21" s="75">
        <f t="shared" si="22"/>
        <v>6938830</v>
      </c>
    </row>
  </sheetData>
  <mergeCells count="15">
    <mergeCell ref="B3:B5"/>
    <mergeCell ref="E3:F4"/>
    <mergeCell ref="D3:D5"/>
    <mergeCell ref="L3:L4"/>
    <mergeCell ref="A1:T1"/>
    <mergeCell ref="A2:B2"/>
    <mergeCell ref="A3:A5"/>
    <mergeCell ref="C3:C5"/>
    <mergeCell ref="U3:U4"/>
    <mergeCell ref="G3:G4"/>
    <mergeCell ref="K3:K4"/>
    <mergeCell ref="M3:S3"/>
    <mergeCell ref="T3:T4"/>
    <mergeCell ref="H3:I3"/>
    <mergeCell ref="J3:J4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S22"/>
  <sheetViews>
    <sheetView zoomScaleNormal="100" workbookViewId="0">
      <selection activeCell="I2" sqref="I2"/>
    </sheetView>
  </sheetViews>
  <sheetFormatPr defaultColWidth="8.875" defaultRowHeight="16.5" x14ac:dyDescent="0.3"/>
  <cols>
    <col min="1" max="1" width="8" style="3" customWidth="1"/>
    <col min="2" max="2" width="19.125" style="3" customWidth="1"/>
    <col min="3" max="3" width="9.25" style="3" hidden="1" customWidth="1"/>
    <col min="4" max="4" width="7.75" style="3" customWidth="1"/>
    <col min="5" max="5" width="14.5" customWidth="1"/>
    <col min="6" max="6" width="15.75" customWidth="1"/>
    <col min="7" max="7" width="15.125" customWidth="1"/>
    <col min="8" max="8" width="7.75" style="6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19" ht="35.1" customHeight="1" x14ac:dyDescent="0.3">
      <c r="A1" s="279" t="s">
        <v>312</v>
      </c>
      <c r="B1" s="279"/>
      <c r="C1" s="279"/>
      <c r="D1" s="279"/>
      <c r="E1" s="280"/>
      <c r="F1" s="280"/>
      <c r="G1" s="279"/>
      <c r="H1" s="279"/>
      <c r="I1" s="280"/>
      <c r="J1" s="279"/>
      <c r="K1" s="279"/>
      <c r="L1" s="279"/>
      <c r="M1" s="279"/>
      <c r="N1" s="279"/>
      <c r="O1" s="279"/>
      <c r="P1" s="279"/>
      <c r="Q1" s="279"/>
      <c r="R1" s="279"/>
      <c r="S1" s="279"/>
    </row>
    <row r="2" spans="1:19" ht="26.25" customHeight="1" x14ac:dyDescent="0.3">
      <c r="A2" s="88" t="s">
        <v>77</v>
      </c>
      <c r="B2" s="2"/>
      <c r="C2" s="2"/>
      <c r="E2" s="4"/>
      <c r="F2" s="4"/>
      <c r="G2" s="5"/>
      <c r="I2" s="5"/>
      <c r="J2" s="5"/>
      <c r="K2" s="7"/>
      <c r="L2" s="5"/>
      <c r="M2" s="5"/>
      <c r="N2" s="5"/>
      <c r="O2" s="5"/>
      <c r="P2" s="5"/>
      <c r="Q2" s="5"/>
      <c r="R2" s="5"/>
      <c r="S2" s="7" t="s">
        <v>113</v>
      </c>
    </row>
    <row r="3" spans="1:19" ht="19.5" customHeight="1" x14ac:dyDescent="0.3">
      <c r="A3" s="272" t="s">
        <v>71</v>
      </c>
      <c r="B3" s="272" t="s">
        <v>67</v>
      </c>
      <c r="C3" s="272" t="s">
        <v>66</v>
      </c>
      <c r="D3" s="272" t="s">
        <v>65</v>
      </c>
      <c r="E3" s="275" t="s">
        <v>57</v>
      </c>
      <c r="F3" s="276"/>
      <c r="G3" s="261" t="s">
        <v>139</v>
      </c>
      <c r="H3" s="270" t="s">
        <v>134</v>
      </c>
      <c r="I3" s="271"/>
      <c r="J3" s="261" t="s">
        <v>149</v>
      </c>
      <c r="K3" s="263" t="s">
        <v>52</v>
      </c>
      <c r="L3" s="263" t="s">
        <v>161</v>
      </c>
      <c r="M3" s="286" t="s">
        <v>12</v>
      </c>
      <c r="N3" s="286"/>
      <c r="O3" s="286"/>
      <c r="P3" s="286"/>
      <c r="Q3" s="286"/>
      <c r="R3" s="286"/>
      <c r="S3" s="286"/>
    </row>
    <row r="4" spans="1:19" ht="14.25" customHeight="1" x14ac:dyDescent="0.3">
      <c r="A4" s="273"/>
      <c r="B4" s="273"/>
      <c r="C4" s="273"/>
      <c r="D4" s="273"/>
      <c r="E4" s="277"/>
      <c r="F4" s="278"/>
      <c r="G4" s="262"/>
      <c r="H4" s="8" t="s">
        <v>56</v>
      </c>
      <c r="I4" s="9" t="s">
        <v>42</v>
      </c>
      <c r="J4" s="262"/>
      <c r="K4" s="285"/>
      <c r="L4" s="285"/>
      <c r="M4" s="286"/>
      <c r="N4" s="286"/>
      <c r="O4" s="286"/>
      <c r="P4" s="286"/>
      <c r="Q4" s="286"/>
      <c r="R4" s="286"/>
      <c r="S4" s="286"/>
    </row>
    <row r="5" spans="1:19" ht="46.5" customHeight="1" x14ac:dyDescent="0.3">
      <c r="A5" s="274"/>
      <c r="B5" s="274"/>
      <c r="C5" s="274"/>
      <c r="D5" s="274"/>
      <c r="E5" s="11"/>
      <c r="F5" s="11"/>
      <c r="G5" s="11"/>
      <c r="H5" s="11"/>
      <c r="I5" s="11"/>
      <c r="J5" s="11"/>
      <c r="K5" s="264"/>
      <c r="L5" s="264"/>
      <c r="M5" s="10" t="s">
        <v>211</v>
      </c>
      <c r="N5" s="10" t="s">
        <v>212</v>
      </c>
      <c r="O5" s="10" t="s">
        <v>210</v>
      </c>
      <c r="P5" s="10" t="s">
        <v>205</v>
      </c>
      <c r="Q5" s="10" t="s">
        <v>213</v>
      </c>
      <c r="R5" s="10" t="s">
        <v>166</v>
      </c>
      <c r="S5" s="89" t="s">
        <v>62</v>
      </c>
    </row>
    <row r="6" spans="1:19" ht="30" customHeight="1" x14ac:dyDescent="0.3">
      <c r="A6" s="282" t="s">
        <v>60</v>
      </c>
      <c r="B6" s="283"/>
      <c r="C6" s="282"/>
      <c r="D6" s="284"/>
      <c r="E6" s="11">
        <f t="shared" ref="E6:S6" si="0">SUM(E7:E22)</f>
        <v>43849000</v>
      </c>
      <c r="F6" s="11">
        <f t="shared" si="0"/>
        <v>468720000</v>
      </c>
      <c r="G6" s="11">
        <f t="shared" si="0"/>
        <v>47692800</v>
      </c>
      <c r="H6" s="11">
        <f t="shared" si="0"/>
        <v>406</v>
      </c>
      <c r="I6" s="11">
        <f t="shared" si="0"/>
        <v>75094530</v>
      </c>
      <c r="J6" s="11">
        <f t="shared" si="0"/>
        <v>10560000</v>
      </c>
      <c r="K6" s="11">
        <f t="shared" si="0"/>
        <v>602067330</v>
      </c>
      <c r="L6" s="11">
        <f t="shared" si="0"/>
        <v>602067330</v>
      </c>
      <c r="M6" s="11">
        <f t="shared" si="0"/>
        <v>20651000</v>
      </c>
      <c r="N6" s="11">
        <f t="shared" si="0"/>
        <v>1757470</v>
      </c>
      <c r="O6" s="11">
        <f t="shared" si="0"/>
        <v>27093100</v>
      </c>
      <c r="P6" s="11">
        <f t="shared" si="0"/>
        <v>5160000</v>
      </c>
      <c r="Q6" s="11">
        <f t="shared" si="0"/>
        <v>6710000</v>
      </c>
      <c r="R6" s="11">
        <f t="shared" si="0"/>
        <v>50172330</v>
      </c>
      <c r="S6" s="11">
        <f t="shared" si="0"/>
        <v>111543900</v>
      </c>
    </row>
    <row r="7" spans="1:19" ht="30" customHeight="1" x14ac:dyDescent="0.3">
      <c r="A7" s="13">
        <v>1</v>
      </c>
      <c r="B7" s="13" t="s">
        <v>157</v>
      </c>
      <c r="C7" s="13" t="s">
        <v>74</v>
      </c>
      <c r="D7" s="14">
        <v>24</v>
      </c>
      <c r="E7" s="15">
        <f>급여산출기초1!E6</f>
        <v>4797000</v>
      </c>
      <c r="F7" s="15">
        <f t="shared" ref="F7:F18" si="1">E7*12</f>
        <v>57564000</v>
      </c>
      <c r="G7" s="15">
        <f>급여산출기초1!G6</f>
        <v>5756400</v>
      </c>
      <c r="H7" s="20"/>
      <c r="I7" s="15"/>
      <c r="J7" s="15">
        <f>100000*12</f>
        <v>1200000</v>
      </c>
      <c r="K7" s="75">
        <f>F7+G7+I7+J7</f>
        <v>64520400</v>
      </c>
      <c r="L7" s="75">
        <f t="shared" ref="L7:L18" si="2">K7</f>
        <v>64520400</v>
      </c>
      <c r="M7" s="16">
        <f>ROUNDUP(L7*0.0343,-1)</f>
        <v>2213050</v>
      </c>
      <c r="N7" s="16">
        <f>ROUNDUP(M7*0.0851,-1)</f>
        <v>188340</v>
      </c>
      <c r="O7" s="16">
        <f>ROUNDUP(L7*0.045,-1)</f>
        <v>2903420</v>
      </c>
      <c r="P7" s="16">
        <v>500000</v>
      </c>
      <c r="Q7" s="16">
        <v>650000</v>
      </c>
      <c r="R7" s="16">
        <f>ROUNDUP(L7/12,-1)</f>
        <v>5376700</v>
      </c>
      <c r="S7" s="75">
        <f t="shared" ref="S7:S18" si="3">SUM(M7:R7)</f>
        <v>11831510</v>
      </c>
    </row>
    <row r="8" spans="1:19" ht="30" customHeight="1" x14ac:dyDescent="0.3">
      <c r="A8" s="13">
        <v>2</v>
      </c>
      <c r="B8" s="19" t="s">
        <v>124</v>
      </c>
      <c r="C8" s="19" t="s">
        <v>63</v>
      </c>
      <c r="D8" s="14">
        <v>22</v>
      </c>
      <c r="E8" s="15">
        <f>급여산출기초1!E7</f>
        <v>3903000</v>
      </c>
      <c r="F8" s="15">
        <f t="shared" si="1"/>
        <v>46836000</v>
      </c>
      <c r="G8" s="15">
        <f>급여산출기초1!G7</f>
        <v>4683600</v>
      </c>
      <c r="H8" s="20">
        <v>8</v>
      </c>
      <c r="I8" s="15">
        <f>급여산출기초1!I7</f>
        <v>2689140</v>
      </c>
      <c r="J8" s="15">
        <f>120000*12</f>
        <v>1440000</v>
      </c>
      <c r="K8" s="75">
        <f t="shared" ref="K8:K20" si="4">F8+G8+I8+J8</f>
        <v>55648740</v>
      </c>
      <c r="L8" s="75">
        <f t="shared" si="2"/>
        <v>55648740</v>
      </c>
      <c r="M8" s="16">
        <f t="shared" ref="M8:M22" si="5">ROUNDUP(L8*0.0343,-1)</f>
        <v>1908760</v>
      </c>
      <c r="N8" s="16">
        <f t="shared" ref="N8:N22" si="6">ROUNDUP(M8*0.0851,-1)</f>
        <v>162440</v>
      </c>
      <c r="O8" s="16">
        <f t="shared" ref="O8:O22" si="7">ROUNDUP(L8*0.045,-1)</f>
        <v>2504200</v>
      </c>
      <c r="P8" s="16">
        <v>440000</v>
      </c>
      <c r="Q8" s="16">
        <v>560000</v>
      </c>
      <c r="R8" s="16">
        <f t="shared" ref="R8:R22" si="8">ROUNDUP(L8/12,-1)</f>
        <v>4637400</v>
      </c>
      <c r="S8" s="75">
        <f t="shared" si="3"/>
        <v>10212800</v>
      </c>
    </row>
    <row r="9" spans="1:19" ht="30" customHeight="1" x14ac:dyDescent="0.3">
      <c r="A9" s="13">
        <v>3</v>
      </c>
      <c r="B9" s="19" t="s">
        <v>54</v>
      </c>
      <c r="C9" s="19" t="s">
        <v>78</v>
      </c>
      <c r="D9" s="14">
        <v>20</v>
      </c>
      <c r="E9" s="15">
        <f>급여산출기초1!E8</f>
        <v>3186000</v>
      </c>
      <c r="F9" s="15">
        <f t="shared" si="1"/>
        <v>38232000</v>
      </c>
      <c r="G9" s="15">
        <f>급여산출기초1!G8</f>
        <v>3823200</v>
      </c>
      <c r="H9" s="20">
        <v>8</v>
      </c>
      <c r="I9" s="15">
        <f>급여산출기초1!I8</f>
        <v>2195130</v>
      </c>
      <c r="J9" s="15">
        <f>40000*12</f>
        <v>480000</v>
      </c>
      <c r="K9" s="75">
        <f t="shared" si="4"/>
        <v>44730330</v>
      </c>
      <c r="L9" s="75">
        <f t="shared" si="2"/>
        <v>44730330</v>
      </c>
      <c r="M9" s="16">
        <f t="shared" si="5"/>
        <v>1534260</v>
      </c>
      <c r="N9" s="16">
        <f t="shared" si="6"/>
        <v>130570</v>
      </c>
      <c r="O9" s="16">
        <f t="shared" si="7"/>
        <v>2012870</v>
      </c>
      <c r="P9" s="16">
        <v>350000</v>
      </c>
      <c r="Q9" s="16">
        <v>450000</v>
      </c>
      <c r="R9" s="16">
        <f t="shared" si="8"/>
        <v>3727530</v>
      </c>
      <c r="S9" s="75">
        <f t="shared" si="3"/>
        <v>8205230</v>
      </c>
    </row>
    <row r="10" spans="1:19" ht="30" customHeight="1" x14ac:dyDescent="0.3">
      <c r="A10" s="13">
        <v>4</v>
      </c>
      <c r="B10" s="19" t="s">
        <v>125</v>
      </c>
      <c r="C10" s="19" t="s">
        <v>170</v>
      </c>
      <c r="D10" s="14">
        <v>22</v>
      </c>
      <c r="E10" s="15">
        <f>급여산출기초1!E9</f>
        <v>3282000</v>
      </c>
      <c r="F10" s="15">
        <f t="shared" si="1"/>
        <v>39384000</v>
      </c>
      <c r="G10" s="15">
        <f>급여산출기초1!G9</f>
        <v>3938400</v>
      </c>
      <c r="H10" s="20">
        <v>30</v>
      </c>
      <c r="I10" s="15">
        <f>급여산출기초1!I9</f>
        <v>8479800</v>
      </c>
      <c r="J10" s="15"/>
      <c r="K10" s="75">
        <f t="shared" si="4"/>
        <v>51802200</v>
      </c>
      <c r="L10" s="75">
        <f t="shared" si="2"/>
        <v>51802200</v>
      </c>
      <c r="M10" s="16">
        <f t="shared" si="5"/>
        <v>1776820</v>
      </c>
      <c r="N10" s="16">
        <f t="shared" si="6"/>
        <v>151210</v>
      </c>
      <c r="O10" s="16">
        <f t="shared" si="7"/>
        <v>2331100</v>
      </c>
      <c r="P10" s="16">
        <v>400000</v>
      </c>
      <c r="Q10" s="16">
        <v>520000</v>
      </c>
      <c r="R10" s="16">
        <f t="shared" si="8"/>
        <v>4316850</v>
      </c>
      <c r="S10" s="75">
        <f t="shared" si="3"/>
        <v>9495980</v>
      </c>
    </row>
    <row r="11" spans="1:19" ht="30" customHeight="1" x14ac:dyDescent="0.3">
      <c r="A11" s="13">
        <v>5</v>
      </c>
      <c r="B11" s="19" t="s">
        <v>126</v>
      </c>
      <c r="C11" s="19" t="s">
        <v>58</v>
      </c>
      <c r="D11" s="14">
        <v>19</v>
      </c>
      <c r="E11" s="15">
        <f>급여산출기초1!E10</f>
        <v>3133000</v>
      </c>
      <c r="F11" s="15">
        <f t="shared" si="1"/>
        <v>37596000</v>
      </c>
      <c r="G11" s="15">
        <f>급여산출기초1!G10</f>
        <v>3759600</v>
      </c>
      <c r="H11" s="20">
        <v>30</v>
      </c>
      <c r="I11" s="15">
        <f>급여산출기초1!I10</f>
        <v>8094830</v>
      </c>
      <c r="J11" s="15">
        <v>1440000</v>
      </c>
      <c r="K11" s="75">
        <f t="shared" si="4"/>
        <v>50890430</v>
      </c>
      <c r="L11" s="75">
        <f t="shared" si="2"/>
        <v>50890430</v>
      </c>
      <c r="M11" s="16">
        <f t="shared" si="5"/>
        <v>1745550</v>
      </c>
      <c r="N11" s="16">
        <f t="shared" si="6"/>
        <v>148550</v>
      </c>
      <c r="O11" s="16">
        <f t="shared" si="7"/>
        <v>2290070</v>
      </c>
      <c r="P11" s="16">
        <v>400000</v>
      </c>
      <c r="Q11" s="16">
        <v>510000</v>
      </c>
      <c r="R11" s="16">
        <f t="shared" si="8"/>
        <v>4240870</v>
      </c>
      <c r="S11" s="75">
        <f t="shared" si="3"/>
        <v>9335040</v>
      </c>
    </row>
    <row r="12" spans="1:19" ht="30" customHeight="1" x14ac:dyDescent="0.3">
      <c r="A12" s="13">
        <v>6</v>
      </c>
      <c r="B12" s="19" t="s">
        <v>193</v>
      </c>
      <c r="C12" s="19" t="s">
        <v>75</v>
      </c>
      <c r="D12" s="14">
        <v>12</v>
      </c>
      <c r="E12" s="15">
        <f>급여산출기초1!E11</f>
        <v>2697000</v>
      </c>
      <c r="F12" s="15">
        <f t="shared" si="1"/>
        <v>32364000</v>
      </c>
      <c r="G12" s="15">
        <f>급여산출기초1!G11</f>
        <v>3236400</v>
      </c>
      <c r="H12" s="20">
        <v>30</v>
      </c>
      <c r="I12" s="15">
        <f>급여산출기초1!I11</f>
        <v>6968320</v>
      </c>
      <c r="J12" s="15">
        <v>480000</v>
      </c>
      <c r="K12" s="75">
        <f t="shared" si="4"/>
        <v>43048720</v>
      </c>
      <c r="L12" s="75">
        <f t="shared" si="2"/>
        <v>43048720</v>
      </c>
      <c r="M12" s="16">
        <f t="shared" si="5"/>
        <v>1476580</v>
      </c>
      <c r="N12" s="16">
        <f t="shared" si="6"/>
        <v>125660</v>
      </c>
      <c r="O12" s="16">
        <f t="shared" si="7"/>
        <v>1937200</v>
      </c>
      <c r="P12" s="16">
        <v>320000</v>
      </c>
      <c r="Q12" s="16">
        <v>420000</v>
      </c>
      <c r="R12" s="16">
        <f t="shared" si="8"/>
        <v>3587400</v>
      </c>
      <c r="S12" s="75">
        <f t="shared" si="3"/>
        <v>7866840</v>
      </c>
    </row>
    <row r="13" spans="1:19" ht="30" customHeight="1" x14ac:dyDescent="0.3">
      <c r="A13" s="13">
        <v>7</v>
      </c>
      <c r="B13" s="19" t="s">
        <v>128</v>
      </c>
      <c r="C13" s="19" t="s">
        <v>171</v>
      </c>
      <c r="D13" s="14">
        <v>14</v>
      </c>
      <c r="E13" s="15">
        <f>급여산출기초1!E12</f>
        <v>2828000</v>
      </c>
      <c r="F13" s="15">
        <f t="shared" si="1"/>
        <v>33936000</v>
      </c>
      <c r="G13" s="15">
        <f>급여산출기초1!G12</f>
        <v>3393600</v>
      </c>
      <c r="H13" s="20">
        <v>30</v>
      </c>
      <c r="I13" s="15">
        <f>급여산출기초1!I12</f>
        <v>7306790</v>
      </c>
      <c r="J13" s="15"/>
      <c r="K13" s="75">
        <f t="shared" si="4"/>
        <v>44636390</v>
      </c>
      <c r="L13" s="75">
        <f t="shared" si="2"/>
        <v>44636390</v>
      </c>
      <c r="M13" s="16">
        <f t="shared" si="5"/>
        <v>1531030</v>
      </c>
      <c r="N13" s="16">
        <f t="shared" si="6"/>
        <v>130300</v>
      </c>
      <c r="O13" s="16">
        <f t="shared" si="7"/>
        <v>2008640</v>
      </c>
      <c r="P13" s="16">
        <v>340000</v>
      </c>
      <c r="Q13" s="16">
        <v>440000</v>
      </c>
      <c r="R13" s="16">
        <f t="shared" si="8"/>
        <v>3719700</v>
      </c>
      <c r="S13" s="75">
        <f t="shared" si="3"/>
        <v>8169670</v>
      </c>
    </row>
    <row r="14" spans="1:19" ht="30" customHeight="1" x14ac:dyDescent="0.3">
      <c r="A14" s="13">
        <v>8</v>
      </c>
      <c r="B14" s="19" t="s">
        <v>194</v>
      </c>
      <c r="C14" s="19" t="s">
        <v>172</v>
      </c>
      <c r="D14" s="14">
        <v>11</v>
      </c>
      <c r="E14" s="15">
        <f>급여산출기초1!E13</f>
        <v>2629000</v>
      </c>
      <c r="F14" s="15">
        <f t="shared" si="1"/>
        <v>31548000</v>
      </c>
      <c r="G14" s="15">
        <f>급여산출기초1!G13</f>
        <v>3154800</v>
      </c>
      <c r="H14" s="20">
        <v>30</v>
      </c>
      <c r="I14" s="15">
        <f>급여산출기초1!I13</f>
        <v>6792630</v>
      </c>
      <c r="J14" s="15">
        <f>40000*12</f>
        <v>480000</v>
      </c>
      <c r="K14" s="75">
        <f t="shared" si="4"/>
        <v>41975430</v>
      </c>
      <c r="L14" s="75">
        <f t="shared" si="2"/>
        <v>41975430</v>
      </c>
      <c r="M14" s="16">
        <f t="shared" si="5"/>
        <v>1439760</v>
      </c>
      <c r="N14" s="16">
        <f t="shared" si="6"/>
        <v>122530</v>
      </c>
      <c r="O14" s="16">
        <f t="shared" si="7"/>
        <v>1888900</v>
      </c>
      <c r="P14" s="16">
        <v>310000</v>
      </c>
      <c r="Q14" s="16">
        <v>410000</v>
      </c>
      <c r="R14" s="16">
        <f t="shared" si="8"/>
        <v>3497960</v>
      </c>
      <c r="S14" s="75">
        <f t="shared" si="3"/>
        <v>7669150</v>
      </c>
    </row>
    <row r="15" spans="1:19" ht="30" customHeight="1" x14ac:dyDescent="0.3">
      <c r="A15" s="13">
        <v>9</v>
      </c>
      <c r="B15" s="19" t="s">
        <v>160</v>
      </c>
      <c r="C15" s="19" t="s">
        <v>173</v>
      </c>
      <c r="D15" s="14">
        <v>9</v>
      </c>
      <c r="E15" s="15">
        <f>급여산출기초1!E14</f>
        <v>2455000</v>
      </c>
      <c r="F15" s="15">
        <f t="shared" si="1"/>
        <v>29460000</v>
      </c>
      <c r="G15" s="15">
        <f>급여산출기초1!G14</f>
        <v>2946000</v>
      </c>
      <c r="H15" s="20">
        <v>30</v>
      </c>
      <c r="I15" s="15">
        <f>급여산출기초1!I14</f>
        <v>6343060</v>
      </c>
      <c r="J15" s="15">
        <f>100000*12</f>
        <v>1200000</v>
      </c>
      <c r="K15" s="75">
        <f t="shared" si="4"/>
        <v>39949060</v>
      </c>
      <c r="L15" s="75">
        <f t="shared" si="2"/>
        <v>39949060</v>
      </c>
      <c r="M15" s="16">
        <f t="shared" si="5"/>
        <v>1370260</v>
      </c>
      <c r="N15" s="16">
        <f t="shared" si="6"/>
        <v>116610</v>
      </c>
      <c r="O15" s="16">
        <f t="shared" si="7"/>
        <v>1797710</v>
      </c>
      <c r="P15" s="16">
        <v>300000</v>
      </c>
      <c r="Q15" s="16">
        <v>390000</v>
      </c>
      <c r="R15" s="16">
        <f t="shared" si="8"/>
        <v>3329090</v>
      </c>
      <c r="S15" s="75">
        <f t="shared" si="3"/>
        <v>7303670</v>
      </c>
    </row>
    <row r="16" spans="1:19" ht="30" customHeight="1" x14ac:dyDescent="0.3">
      <c r="A16" s="13">
        <v>10</v>
      </c>
      <c r="B16" s="19" t="s">
        <v>123</v>
      </c>
      <c r="C16" s="19" t="s">
        <v>174</v>
      </c>
      <c r="D16" s="14">
        <v>10</v>
      </c>
      <c r="E16" s="15">
        <f>급여산출기초1!E15</f>
        <v>2545000</v>
      </c>
      <c r="F16" s="15">
        <f t="shared" si="1"/>
        <v>30540000</v>
      </c>
      <c r="G16" s="15">
        <f>급여산출기초1!G15</f>
        <v>3054000</v>
      </c>
      <c r="H16" s="20">
        <v>30</v>
      </c>
      <c r="I16" s="15">
        <f>급여산출기초1!I15</f>
        <v>6575590</v>
      </c>
      <c r="J16" s="15"/>
      <c r="K16" s="75">
        <f t="shared" si="4"/>
        <v>40169590</v>
      </c>
      <c r="L16" s="75">
        <f t="shared" si="2"/>
        <v>40169590</v>
      </c>
      <c r="M16" s="16">
        <f t="shared" si="5"/>
        <v>1377820</v>
      </c>
      <c r="N16" s="16">
        <f t="shared" si="6"/>
        <v>117260</v>
      </c>
      <c r="O16" s="16">
        <f t="shared" si="7"/>
        <v>1807640</v>
      </c>
      <c r="P16" s="16">
        <v>300000</v>
      </c>
      <c r="Q16" s="16">
        <v>380000</v>
      </c>
      <c r="R16" s="16">
        <f t="shared" si="8"/>
        <v>3347470</v>
      </c>
      <c r="S16" s="75">
        <f t="shared" si="3"/>
        <v>7330190</v>
      </c>
    </row>
    <row r="17" spans="1:19" ht="30" customHeight="1" x14ac:dyDescent="0.3">
      <c r="A17" s="13">
        <v>11</v>
      </c>
      <c r="B17" s="19" t="s">
        <v>127</v>
      </c>
      <c r="C17" s="19" t="s">
        <v>175</v>
      </c>
      <c r="D17" s="14">
        <v>5</v>
      </c>
      <c r="E17" s="15">
        <f>급여산출기초1!E16</f>
        <v>2114000</v>
      </c>
      <c r="F17" s="15">
        <f t="shared" si="1"/>
        <v>25368000</v>
      </c>
      <c r="G17" s="15">
        <f>급여산출기초1!G16</f>
        <v>2536800</v>
      </c>
      <c r="H17" s="20">
        <v>30</v>
      </c>
      <c r="I17" s="15">
        <f>급여산출기초1!I16</f>
        <v>5462000</v>
      </c>
      <c r="J17" s="15">
        <f>급여산출기초1!J16</f>
        <v>480000</v>
      </c>
      <c r="K17" s="75">
        <f t="shared" si="4"/>
        <v>33846800</v>
      </c>
      <c r="L17" s="75">
        <f t="shared" si="2"/>
        <v>33846800</v>
      </c>
      <c r="M17" s="16">
        <f t="shared" si="5"/>
        <v>1160950</v>
      </c>
      <c r="N17" s="16">
        <f t="shared" si="6"/>
        <v>98800</v>
      </c>
      <c r="O17" s="16">
        <f t="shared" si="7"/>
        <v>1523110</v>
      </c>
      <c r="P17" s="16">
        <v>250000</v>
      </c>
      <c r="Q17" s="16">
        <v>330000</v>
      </c>
      <c r="R17" s="16">
        <f t="shared" si="8"/>
        <v>2820570</v>
      </c>
      <c r="S17" s="75">
        <f t="shared" si="3"/>
        <v>6183430</v>
      </c>
    </row>
    <row r="18" spans="1:19" ht="30" customHeight="1" x14ac:dyDescent="0.3">
      <c r="A18" s="13">
        <v>12</v>
      </c>
      <c r="B18" s="19" t="s">
        <v>192</v>
      </c>
      <c r="C18" s="19" t="s">
        <v>176</v>
      </c>
      <c r="D18" s="14">
        <v>7</v>
      </c>
      <c r="E18" s="15">
        <f>급여산출기초1!E17</f>
        <v>2070000</v>
      </c>
      <c r="F18" s="15">
        <f t="shared" si="1"/>
        <v>24840000</v>
      </c>
      <c r="G18" s="15">
        <f>급여산출기초1!G17</f>
        <v>2484000</v>
      </c>
      <c r="H18" s="20">
        <v>30</v>
      </c>
      <c r="I18" s="15">
        <f>급여산출기초1!I17</f>
        <v>5348320</v>
      </c>
      <c r="J18" s="15">
        <f>40000*12</f>
        <v>480000</v>
      </c>
      <c r="K18" s="75">
        <f t="shared" si="4"/>
        <v>33152320</v>
      </c>
      <c r="L18" s="75">
        <f t="shared" si="2"/>
        <v>33152320</v>
      </c>
      <c r="M18" s="16">
        <f t="shared" si="5"/>
        <v>1137130</v>
      </c>
      <c r="N18" s="16">
        <f t="shared" si="6"/>
        <v>96770</v>
      </c>
      <c r="O18" s="16">
        <f t="shared" si="7"/>
        <v>1491860</v>
      </c>
      <c r="P18" s="16">
        <v>250000</v>
      </c>
      <c r="Q18" s="16">
        <v>330000</v>
      </c>
      <c r="R18" s="16">
        <f t="shared" si="8"/>
        <v>2762700</v>
      </c>
      <c r="S18" s="75">
        <f t="shared" si="3"/>
        <v>6068460</v>
      </c>
    </row>
    <row r="19" spans="1:19" ht="27.75" customHeight="1" x14ac:dyDescent="0.3">
      <c r="A19" s="13">
        <v>13</v>
      </c>
      <c r="B19" s="183" t="s">
        <v>264</v>
      </c>
      <c r="C19" s="182"/>
      <c r="D19" s="182">
        <v>5</v>
      </c>
      <c r="E19" s="15">
        <f>급여산출기초1!E18</f>
        <v>2114000</v>
      </c>
      <c r="F19" s="15">
        <f>E19*6</f>
        <v>12684000</v>
      </c>
      <c r="G19" s="15">
        <f>급여산출기초1!G18</f>
        <v>1268400</v>
      </c>
      <c r="H19" s="20">
        <v>30</v>
      </c>
      <c r="I19" s="15">
        <f>급여산출기초1!I18</f>
        <v>2731000</v>
      </c>
      <c r="J19" s="15">
        <f>120000*6</f>
        <v>720000</v>
      </c>
      <c r="K19" s="75">
        <f t="shared" si="4"/>
        <v>17403400</v>
      </c>
      <c r="L19" s="75">
        <f t="shared" ref="L19:L20" si="9">K19</f>
        <v>17403400</v>
      </c>
      <c r="M19" s="16">
        <f t="shared" si="5"/>
        <v>596940</v>
      </c>
      <c r="N19" s="16">
        <f t="shared" si="6"/>
        <v>50800</v>
      </c>
      <c r="O19" s="16">
        <f t="shared" si="7"/>
        <v>783160</v>
      </c>
      <c r="P19" s="16">
        <v>250000</v>
      </c>
      <c r="Q19" s="16">
        <v>330000</v>
      </c>
      <c r="R19" s="16">
        <f t="shared" si="8"/>
        <v>1450290</v>
      </c>
      <c r="S19" s="75">
        <f t="shared" ref="S19:S20" si="10">SUM(M19:R19)</f>
        <v>3461190</v>
      </c>
    </row>
    <row r="20" spans="1:19" ht="27.75" customHeight="1" x14ac:dyDescent="0.3">
      <c r="A20" s="13">
        <v>14</v>
      </c>
      <c r="B20" s="183" t="s">
        <v>274</v>
      </c>
      <c r="C20" s="182"/>
      <c r="D20" s="182">
        <v>3</v>
      </c>
      <c r="E20" s="15">
        <f>급여산출기초1!E19</f>
        <v>1992000</v>
      </c>
      <c r="F20" s="15">
        <f t="shared" ref="F20:F21" si="11">E20*6</f>
        <v>11952000</v>
      </c>
      <c r="G20" s="15">
        <f>급여산출기초1!G19</f>
        <v>1195200</v>
      </c>
      <c r="H20" s="20">
        <v>30</v>
      </c>
      <c r="I20" s="15">
        <f>급여산출기초1!I19</f>
        <v>2573390</v>
      </c>
      <c r="J20" s="15">
        <f t="shared" ref="J20:J22" si="12">120000*6</f>
        <v>720000</v>
      </c>
      <c r="K20" s="75">
        <f t="shared" si="4"/>
        <v>16440590</v>
      </c>
      <c r="L20" s="75">
        <f t="shared" si="9"/>
        <v>16440590</v>
      </c>
      <c r="M20" s="16">
        <f t="shared" si="5"/>
        <v>563920</v>
      </c>
      <c r="N20" s="16">
        <f t="shared" si="6"/>
        <v>47990</v>
      </c>
      <c r="O20" s="16">
        <f t="shared" si="7"/>
        <v>739830</v>
      </c>
      <c r="P20" s="16">
        <v>250000</v>
      </c>
      <c r="Q20" s="16">
        <v>330000</v>
      </c>
      <c r="R20" s="16">
        <f t="shared" si="8"/>
        <v>1370050</v>
      </c>
      <c r="S20" s="75">
        <f t="shared" si="10"/>
        <v>3301790</v>
      </c>
    </row>
    <row r="21" spans="1:19" ht="28.5" customHeight="1" x14ac:dyDescent="0.3">
      <c r="A21" s="13">
        <v>15</v>
      </c>
      <c r="B21" s="183" t="s">
        <v>275</v>
      </c>
      <c r="C21" s="182"/>
      <c r="D21" s="182">
        <v>4</v>
      </c>
      <c r="E21" s="15">
        <f>급여산출기초1!E20</f>
        <v>2052000</v>
      </c>
      <c r="F21" s="15">
        <f t="shared" si="11"/>
        <v>12312000</v>
      </c>
      <c r="G21" s="15">
        <f>급여산출기초1!G20</f>
        <v>1231200</v>
      </c>
      <c r="H21" s="20">
        <v>30</v>
      </c>
      <c r="I21" s="15">
        <f>급여산출기초1!I20</f>
        <v>2650900</v>
      </c>
      <c r="J21" s="15">
        <f t="shared" si="12"/>
        <v>720000</v>
      </c>
      <c r="K21" s="75">
        <f t="shared" ref="K21:K22" si="13">F21+G21+I21+J21</f>
        <v>16914100</v>
      </c>
      <c r="L21" s="75">
        <f t="shared" ref="L21:L22" si="14">K21</f>
        <v>16914100</v>
      </c>
      <c r="M21" s="16">
        <f t="shared" si="5"/>
        <v>580160</v>
      </c>
      <c r="N21" s="16">
        <f t="shared" si="6"/>
        <v>49380</v>
      </c>
      <c r="O21" s="16">
        <f t="shared" si="7"/>
        <v>761140</v>
      </c>
      <c r="P21" s="16">
        <v>250000</v>
      </c>
      <c r="Q21" s="16">
        <v>330000</v>
      </c>
      <c r="R21" s="16">
        <f t="shared" si="8"/>
        <v>1409510</v>
      </c>
      <c r="S21" s="75">
        <f t="shared" ref="S21:S22" si="15">SUM(M21:R21)</f>
        <v>3380190</v>
      </c>
    </row>
    <row r="22" spans="1:19" ht="25.5" customHeight="1" x14ac:dyDescent="0.3">
      <c r="A22" s="13">
        <v>16</v>
      </c>
      <c r="B22" s="183" t="s">
        <v>276</v>
      </c>
      <c r="C22" s="182"/>
      <c r="D22" s="182">
        <v>4</v>
      </c>
      <c r="E22" s="15">
        <f>급여산출기초1!E21</f>
        <v>2052000</v>
      </c>
      <c r="F22" s="15">
        <f>E22*2</f>
        <v>4104000</v>
      </c>
      <c r="G22" s="15">
        <f>급여산출기초1!G21</f>
        <v>1231200</v>
      </c>
      <c r="H22" s="20">
        <v>30</v>
      </c>
      <c r="I22" s="15">
        <f>급여산출기초1!I21</f>
        <v>883630</v>
      </c>
      <c r="J22" s="15">
        <f t="shared" si="12"/>
        <v>720000</v>
      </c>
      <c r="K22" s="75">
        <f t="shared" si="13"/>
        <v>6938830</v>
      </c>
      <c r="L22" s="75">
        <f t="shared" si="14"/>
        <v>6938830</v>
      </c>
      <c r="M22" s="16">
        <f t="shared" si="5"/>
        <v>238010</v>
      </c>
      <c r="N22" s="16">
        <f t="shared" si="6"/>
        <v>20260</v>
      </c>
      <c r="O22" s="16">
        <f t="shared" si="7"/>
        <v>312250</v>
      </c>
      <c r="P22" s="16">
        <v>250000</v>
      </c>
      <c r="Q22" s="16">
        <v>330000</v>
      </c>
      <c r="R22" s="16">
        <f t="shared" si="8"/>
        <v>578240</v>
      </c>
      <c r="S22" s="75">
        <f t="shared" si="15"/>
        <v>1728760</v>
      </c>
    </row>
  </sheetData>
  <mergeCells count="13">
    <mergeCell ref="A1:S1"/>
    <mergeCell ref="K3:K5"/>
    <mergeCell ref="L3:L5"/>
    <mergeCell ref="M3:S4"/>
    <mergeCell ref="G3:G4"/>
    <mergeCell ref="H3:I3"/>
    <mergeCell ref="J3:J4"/>
    <mergeCell ref="A6:D6"/>
    <mergeCell ref="A3:A5"/>
    <mergeCell ref="B3:B5"/>
    <mergeCell ref="D3:D5"/>
    <mergeCell ref="E3:F4"/>
    <mergeCell ref="C3:C5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4"/>
  <sheetViews>
    <sheetView zoomScaleNormal="100" workbookViewId="0">
      <pane xSplit="3" ySplit="4" topLeftCell="D5" activePane="bottomRight" state="frozen"/>
      <selection pane="topRight"/>
      <selection pane="bottomLeft"/>
      <selection pane="bottomRight" activeCell="E5" sqref="E5"/>
    </sheetView>
  </sheetViews>
  <sheetFormatPr defaultColWidth="8.875" defaultRowHeight="16.5" x14ac:dyDescent="0.3"/>
  <cols>
    <col min="1" max="1" width="5.75" style="76" customWidth="1"/>
    <col min="2" max="2" width="16.25" style="77" customWidth="1"/>
    <col min="3" max="3" width="9.25" style="77" bestFit="1" customWidth="1"/>
    <col min="4" max="4" width="7.75" style="77" customWidth="1"/>
    <col min="5" max="5" width="15" style="80" customWidth="1"/>
    <col min="6" max="6" width="16.625" style="80" customWidth="1"/>
    <col min="7" max="7" width="14.125" style="80" customWidth="1"/>
    <col min="8" max="8" width="12.125" style="80" customWidth="1"/>
    <col min="9" max="9" width="14.125" style="80" bestFit="1" customWidth="1"/>
    <col min="10" max="11" width="14.5" style="81" bestFit="1" customWidth="1"/>
    <col min="12" max="12" width="15.75" style="82" bestFit="1" customWidth="1"/>
    <col min="13" max="13" width="14.5" style="81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79" t="s">
        <v>313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</row>
    <row r="2" spans="1:13" ht="24.75" customHeight="1" x14ac:dyDescent="0.15">
      <c r="A2" s="288" t="s">
        <v>146</v>
      </c>
      <c r="B2" s="288"/>
      <c r="C2" s="94"/>
      <c r="E2" s="78"/>
      <c r="F2" s="78"/>
      <c r="G2" s="78"/>
      <c r="H2" s="79"/>
      <c r="I2" s="79"/>
      <c r="M2" s="7" t="s">
        <v>113</v>
      </c>
    </row>
    <row r="3" spans="1:13" ht="30" customHeight="1" thickBot="1" x14ac:dyDescent="0.35">
      <c r="A3" s="84" t="s">
        <v>71</v>
      </c>
      <c r="B3" s="84" t="s">
        <v>67</v>
      </c>
      <c r="C3" s="84" t="s">
        <v>66</v>
      </c>
      <c r="D3" s="84" t="s">
        <v>65</v>
      </c>
      <c r="E3" s="84" t="s">
        <v>57</v>
      </c>
      <c r="F3" s="90" t="s">
        <v>148</v>
      </c>
      <c r="G3" s="84" t="s">
        <v>153</v>
      </c>
      <c r="H3" s="84" t="s">
        <v>149</v>
      </c>
      <c r="I3" s="84" t="s">
        <v>134</v>
      </c>
      <c r="J3" s="85" t="s">
        <v>143</v>
      </c>
      <c r="K3" s="85" t="s">
        <v>64</v>
      </c>
      <c r="L3" s="86" t="s">
        <v>49</v>
      </c>
      <c r="M3" s="85" t="s">
        <v>138</v>
      </c>
    </row>
    <row r="4" spans="1:13" ht="30" customHeight="1" thickTop="1" x14ac:dyDescent="0.3">
      <c r="A4" s="287" t="s">
        <v>60</v>
      </c>
      <c r="B4" s="287"/>
      <c r="C4" s="287"/>
      <c r="D4" s="287"/>
      <c r="E4" s="87">
        <f t="shared" ref="E4:M4" si="0">SUM(E5:E20)</f>
        <v>43849000</v>
      </c>
      <c r="F4" s="87">
        <f t="shared" si="0"/>
        <v>468720000</v>
      </c>
      <c r="G4" s="87">
        <f t="shared" si="0"/>
        <v>47692800</v>
      </c>
      <c r="H4" s="87">
        <f t="shared" si="0"/>
        <v>10560000</v>
      </c>
      <c r="I4" s="87">
        <f t="shared" si="0"/>
        <v>75094530</v>
      </c>
      <c r="J4" s="87">
        <f t="shared" si="0"/>
        <v>133347330</v>
      </c>
      <c r="K4" s="87">
        <f t="shared" si="0"/>
        <v>602067330</v>
      </c>
      <c r="L4" s="87">
        <f t="shared" si="0"/>
        <v>84289360</v>
      </c>
      <c r="M4" s="87">
        <f t="shared" si="0"/>
        <v>517777970</v>
      </c>
    </row>
    <row r="5" spans="1:13" ht="30" customHeight="1" x14ac:dyDescent="0.3">
      <c r="A5" s="13">
        <v>1</v>
      </c>
      <c r="B5" s="13" t="s">
        <v>157</v>
      </c>
      <c r="C5" s="13" t="s">
        <v>74</v>
      </c>
      <c r="D5" s="14">
        <v>24</v>
      </c>
      <c r="E5" s="15">
        <f>급여산출기초1!E6</f>
        <v>4797000</v>
      </c>
      <c r="F5" s="15">
        <f t="shared" ref="F5:F16" si="1">E5*12</f>
        <v>57564000</v>
      </c>
      <c r="G5" s="15">
        <f>사회보험!G7</f>
        <v>5756400</v>
      </c>
      <c r="H5" s="15">
        <f>100000*12</f>
        <v>1200000</v>
      </c>
      <c r="I5" s="110">
        <f>급여산출기초1!I6</f>
        <v>0</v>
      </c>
      <c r="J5" s="83">
        <f t="shared" ref="J5:J18" si="2">SUM(G5:I5)</f>
        <v>6956400</v>
      </c>
      <c r="K5" s="83">
        <f t="shared" ref="K5:K18" si="3">F5+J5</f>
        <v>64520400</v>
      </c>
      <c r="L5" s="83">
        <f>ROUNDDOWN(K5*14%,-1)</f>
        <v>9032850</v>
      </c>
      <c r="M5" s="83">
        <f t="shared" ref="M5:M16" si="4">K5-L5</f>
        <v>55487550</v>
      </c>
    </row>
    <row r="6" spans="1:13" ht="30" customHeight="1" x14ac:dyDescent="0.3">
      <c r="A6" s="13">
        <v>2</v>
      </c>
      <c r="B6" s="19" t="s">
        <v>124</v>
      </c>
      <c r="C6" s="19" t="s">
        <v>185</v>
      </c>
      <c r="D6" s="14">
        <v>22</v>
      </c>
      <c r="E6" s="15">
        <f>급여산출기초1!E7</f>
        <v>3903000</v>
      </c>
      <c r="F6" s="15">
        <f t="shared" si="1"/>
        <v>46836000</v>
      </c>
      <c r="G6" s="15">
        <f>사회보험!G8</f>
        <v>4683600</v>
      </c>
      <c r="H6" s="15">
        <f>120000*12</f>
        <v>1440000</v>
      </c>
      <c r="I6" s="110">
        <f>급여산출기초1!I7</f>
        <v>2689140</v>
      </c>
      <c r="J6" s="83">
        <f t="shared" si="2"/>
        <v>8812740</v>
      </c>
      <c r="K6" s="83">
        <f t="shared" si="3"/>
        <v>55648740</v>
      </c>
      <c r="L6" s="83">
        <f t="shared" ref="L6:L16" si="5">ROUNDDOWN(K6*14%,-1)</f>
        <v>7790820</v>
      </c>
      <c r="M6" s="83">
        <f t="shared" si="4"/>
        <v>47857920</v>
      </c>
    </row>
    <row r="7" spans="1:13" ht="30" customHeight="1" x14ac:dyDescent="0.3">
      <c r="A7" s="13">
        <v>3</v>
      </c>
      <c r="B7" s="19" t="s">
        <v>184</v>
      </c>
      <c r="C7" s="19" t="s">
        <v>186</v>
      </c>
      <c r="D7" s="14">
        <v>20</v>
      </c>
      <c r="E7" s="15">
        <f>급여산출기초1!E8</f>
        <v>3186000</v>
      </c>
      <c r="F7" s="15">
        <f t="shared" si="1"/>
        <v>38232000</v>
      </c>
      <c r="G7" s="15">
        <f>사회보험!G9</f>
        <v>3823200</v>
      </c>
      <c r="H7" s="15">
        <f>40000*12</f>
        <v>480000</v>
      </c>
      <c r="I7" s="110">
        <f>급여산출기초1!I8</f>
        <v>2195130</v>
      </c>
      <c r="J7" s="83">
        <f t="shared" si="2"/>
        <v>6498330</v>
      </c>
      <c r="K7" s="83">
        <f t="shared" si="3"/>
        <v>44730330</v>
      </c>
      <c r="L7" s="83">
        <f t="shared" si="5"/>
        <v>6262240</v>
      </c>
      <c r="M7" s="83">
        <f t="shared" si="4"/>
        <v>38468090</v>
      </c>
    </row>
    <row r="8" spans="1:13" ht="30" customHeight="1" x14ac:dyDescent="0.3">
      <c r="A8" s="13">
        <v>4</v>
      </c>
      <c r="B8" s="13" t="s">
        <v>187</v>
      </c>
      <c r="C8" s="13" t="s">
        <v>51</v>
      </c>
      <c r="D8" s="14">
        <v>22</v>
      </c>
      <c r="E8" s="15">
        <f>급여산출기초1!E9</f>
        <v>3282000</v>
      </c>
      <c r="F8" s="15">
        <f t="shared" si="1"/>
        <v>39384000</v>
      </c>
      <c r="G8" s="15">
        <f>사회보험!G10</f>
        <v>3938400</v>
      </c>
      <c r="H8" s="15"/>
      <c r="I8" s="110">
        <f>급여산출기초1!I9</f>
        <v>8479800</v>
      </c>
      <c r="J8" s="83">
        <f t="shared" si="2"/>
        <v>12418200</v>
      </c>
      <c r="K8" s="83">
        <f t="shared" si="3"/>
        <v>51802200</v>
      </c>
      <c r="L8" s="83">
        <f t="shared" si="5"/>
        <v>7252300</v>
      </c>
      <c r="M8" s="83">
        <f t="shared" si="4"/>
        <v>44549900</v>
      </c>
    </row>
    <row r="9" spans="1:13" ht="30" customHeight="1" x14ac:dyDescent="0.3">
      <c r="A9" s="13">
        <v>5</v>
      </c>
      <c r="B9" s="13" t="s">
        <v>187</v>
      </c>
      <c r="C9" s="19" t="s">
        <v>78</v>
      </c>
      <c r="D9" s="14">
        <v>19</v>
      </c>
      <c r="E9" s="15">
        <f>급여산출기초1!E10</f>
        <v>3133000</v>
      </c>
      <c r="F9" s="15">
        <f t="shared" si="1"/>
        <v>37596000</v>
      </c>
      <c r="G9" s="15">
        <f>사회보험!G11</f>
        <v>3759600</v>
      </c>
      <c r="H9" s="15">
        <v>1440000</v>
      </c>
      <c r="I9" s="110">
        <f>급여산출기초1!I10</f>
        <v>8094830</v>
      </c>
      <c r="J9" s="83">
        <f t="shared" si="2"/>
        <v>13294430</v>
      </c>
      <c r="K9" s="83">
        <f t="shared" si="3"/>
        <v>50890430</v>
      </c>
      <c r="L9" s="83">
        <f t="shared" si="5"/>
        <v>7124660</v>
      </c>
      <c r="M9" s="83">
        <f t="shared" si="4"/>
        <v>43765770</v>
      </c>
    </row>
    <row r="10" spans="1:13" ht="30" customHeight="1" x14ac:dyDescent="0.3">
      <c r="A10" s="13">
        <v>6</v>
      </c>
      <c r="B10" s="13" t="s">
        <v>187</v>
      </c>
      <c r="C10" s="19" t="s">
        <v>75</v>
      </c>
      <c r="D10" s="14">
        <v>12</v>
      </c>
      <c r="E10" s="15">
        <f>급여산출기초1!E11</f>
        <v>2697000</v>
      </c>
      <c r="F10" s="15">
        <f t="shared" si="1"/>
        <v>32364000</v>
      </c>
      <c r="G10" s="15">
        <f>사회보험!G12</f>
        <v>3236400</v>
      </c>
      <c r="H10" s="15">
        <v>480000</v>
      </c>
      <c r="I10" s="110">
        <f>급여산출기초1!I11</f>
        <v>6968320</v>
      </c>
      <c r="J10" s="83">
        <f t="shared" si="2"/>
        <v>10684720</v>
      </c>
      <c r="K10" s="83">
        <f t="shared" si="3"/>
        <v>43048720</v>
      </c>
      <c r="L10" s="83">
        <f t="shared" si="5"/>
        <v>6026820</v>
      </c>
      <c r="M10" s="83">
        <f t="shared" si="4"/>
        <v>37021900</v>
      </c>
    </row>
    <row r="11" spans="1:13" ht="30" customHeight="1" x14ac:dyDescent="0.3">
      <c r="A11" s="13">
        <v>7</v>
      </c>
      <c r="B11" s="13" t="s">
        <v>187</v>
      </c>
      <c r="C11" s="19" t="s">
        <v>175</v>
      </c>
      <c r="D11" s="14">
        <v>14</v>
      </c>
      <c r="E11" s="15">
        <f>급여산출기초1!E12</f>
        <v>2828000</v>
      </c>
      <c r="F11" s="15">
        <f t="shared" si="1"/>
        <v>33936000</v>
      </c>
      <c r="G11" s="15">
        <f>사회보험!G13</f>
        <v>3393600</v>
      </c>
      <c r="H11" s="15"/>
      <c r="I11" s="110">
        <f>급여산출기초1!I12</f>
        <v>7306790</v>
      </c>
      <c r="J11" s="83">
        <f t="shared" si="2"/>
        <v>10700390</v>
      </c>
      <c r="K11" s="83">
        <f t="shared" si="3"/>
        <v>44636390</v>
      </c>
      <c r="L11" s="83">
        <f t="shared" si="5"/>
        <v>6249090</v>
      </c>
      <c r="M11" s="83">
        <f t="shared" si="4"/>
        <v>38387300</v>
      </c>
    </row>
    <row r="12" spans="1:13" ht="30" customHeight="1" x14ac:dyDescent="0.3">
      <c r="A12" s="13">
        <v>8</v>
      </c>
      <c r="B12" s="13" t="s">
        <v>187</v>
      </c>
      <c r="C12" s="19" t="s">
        <v>177</v>
      </c>
      <c r="D12" s="14">
        <v>11</v>
      </c>
      <c r="E12" s="15">
        <f>급여산출기초1!E13</f>
        <v>2629000</v>
      </c>
      <c r="F12" s="15">
        <f t="shared" si="1"/>
        <v>31548000</v>
      </c>
      <c r="G12" s="15">
        <f>사회보험!G14</f>
        <v>3154800</v>
      </c>
      <c r="H12" s="15">
        <f>40000*12</f>
        <v>480000</v>
      </c>
      <c r="I12" s="110">
        <f>급여산출기초1!I13</f>
        <v>6792630</v>
      </c>
      <c r="J12" s="83">
        <f t="shared" si="2"/>
        <v>10427430</v>
      </c>
      <c r="K12" s="83">
        <f t="shared" si="3"/>
        <v>41975430</v>
      </c>
      <c r="L12" s="83">
        <f t="shared" si="5"/>
        <v>5876560</v>
      </c>
      <c r="M12" s="83">
        <f t="shared" si="4"/>
        <v>36098870</v>
      </c>
    </row>
    <row r="13" spans="1:13" ht="30" customHeight="1" x14ac:dyDescent="0.3">
      <c r="A13" s="13">
        <v>9</v>
      </c>
      <c r="B13" s="13" t="s">
        <v>187</v>
      </c>
      <c r="C13" s="19" t="s">
        <v>188</v>
      </c>
      <c r="D13" s="14">
        <v>9</v>
      </c>
      <c r="E13" s="15">
        <f>급여산출기초1!E14</f>
        <v>2455000</v>
      </c>
      <c r="F13" s="15">
        <f t="shared" si="1"/>
        <v>29460000</v>
      </c>
      <c r="G13" s="15">
        <f>사회보험!G15</f>
        <v>2946000</v>
      </c>
      <c r="H13" s="15">
        <f>100000*12</f>
        <v>1200000</v>
      </c>
      <c r="I13" s="110">
        <f>급여산출기초1!I14</f>
        <v>6343060</v>
      </c>
      <c r="J13" s="83">
        <f t="shared" si="2"/>
        <v>10489060</v>
      </c>
      <c r="K13" s="83">
        <f t="shared" si="3"/>
        <v>39949060</v>
      </c>
      <c r="L13" s="83">
        <f t="shared" si="5"/>
        <v>5592860</v>
      </c>
      <c r="M13" s="83">
        <f t="shared" si="4"/>
        <v>34356200</v>
      </c>
    </row>
    <row r="14" spans="1:13" ht="30" customHeight="1" x14ac:dyDescent="0.3">
      <c r="A14" s="13">
        <v>10</v>
      </c>
      <c r="B14" s="13" t="s">
        <v>187</v>
      </c>
      <c r="C14" s="19" t="s">
        <v>189</v>
      </c>
      <c r="D14" s="14">
        <v>10</v>
      </c>
      <c r="E14" s="15">
        <f>급여산출기초1!E15</f>
        <v>2545000</v>
      </c>
      <c r="F14" s="15">
        <f t="shared" si="1"/>
        <v>30540000</v>
      </c>
      <c r="G14" s="15">
        <f>사회보험!G16</f>
        <v>3054000</v>
      </c>
      <c r="H14" s="15"/>
      <c r="I14" s="110">
        <f>급여산출기초1!I15</f>
        <v>6575590</v>
      </c>
      <c r="J14" s="83">
        <f t="shared" si="2"/>
        <v>9629590</v>
      </c>
      <c r="K14" s="83">
        <f t="shared" si="3"/>
        <v>40169590</v>
      </c>
      <c r="L14" s="83">
        <f t="shared" si="5"/>
        <v>5623740</v>
      </c>
      <c r="M14" s="83">
        <f t="shared" si="4"/>
        <v>34545850</v>
      </c>
    </row>
    <row r="15" spans="1:13" ht="30" customHeight="1" x14ac:dyDescent="0.3">
      <c r="A15" s="13">
        <v>11</v>
      </c>
      <c r="B15" s="13" t="s">
        <v>187</v>
      </c>
      <c r="C15" s="19" t="s">
        <v>203</v>
      </c>
      <c r="D15" s="14">
        <v>5</v>
      </c>
      <c r="E15" s="15">
        <f>급여산출기초1!E16</f>
        <v>2114000</v>
      </c>
      <c r="F15" s="15">
        <f t="shared" si="1"/>
        <v>25368000</v>
      </c>
      <c r="G15" s="15">
        <f>사회보험!G17</f>
        <v>2536800</v>
      </c>
      <c r="H15" s="15">
        <f>급여산출기초1!J16</f>
        <v>480000</v>
      </c>
      <c r="I15" s="110">
        <f>급여산출기초1!I16</f>
        <v>5462000</v>
      </c>
      <c r="J15" s="83">
        <f t="shared" si="2"/>
        <v>8478800</v>
      </c>
      <c r="K15" s="83">
        <f t="shared" si="3"/>
        <v>33846800</v>
      </c>
      <c r="L15" s="83">
        <f t="shared" si="5"/>
        <v>4738550</v>
      </c>
      <c r="M15" s="83">
        <f t="shared" si="4"/>
        <v>29108250</v>
      </c>
    </row>
    <row r="16" spans="1:13" ht="30" customHeight="1" x14ac:dyDescent="0.3">
      <c r="A16" s="13">
        <v>12</v>
      </c>
      <c r="B16" s="13" t="s">
        <v>190</v>
      </c>
      <c r="C16" s="19" t="s">
        <v>191</v>
      </c>
      <c r="D16" s="14">
        <v>7</v>
      </c>
      <c r="E16" s="15">
        <f>급여산출기초1!E17</f>
        <v>2070000</v>
      </c>
      <c r="F16" s="15">
        <f t="shared" si="1"/>
        <v>24840000</v>
      </c>
      <c r="G16" s="15">
        <f>사회보험!G18</f>
        <v>2484000</v>
      </c>
      <c r="H16" s="15">
        <f>40000*12</f>
        <v>480000</v>
      </c>
      <c r="I16" s="110">
        <f>급여산출기초1!I17</f>
        <v>5348320</v>
      </c>
      <c r="J16" s="83">
        <f t="shared" si="2"/>
        <v>8312320</v>
      </c>
      <c r="K16" s="83">
        <f t="shared" si="3"/>
        <v>33152320</v>
      </c>
      <c r="L16" s="83">
        <f t="shared" si="5"/>
        <v>4641320</v>
      </c>
      <c r="M16" s="83">
        <f t="shared" si="4"/>
        <v>28511000</v>
      </c>
    </row>
    <row r="17" spans="1:13" ht="30" customHeight="1" x14ac:dyDescent="0.3">
      <c r="A17" s="13">
        <v>13</v>
      </c>
      <c r="B17" s="13" t="s">
        <v>217</v>
      </c>
      <c r="C17" s="19" t="s">
        <v>264</v>
      </c>
      <c r="D17" s="14">
        <v>10</v>
      </c>
      <c r="E17" s="15">
        <f>급여산출기초1!E18</f>
        <v>2114000</v>
      </c>
      <c r="F17" s="15">
        <f>E17*6</f>
        <v>12684000</v>
      </c>
      <c r="G17" s="15">
        <f>E17*0.6*1</f>
        <v>1268400</v>
      </c>
      <c r="H17" s="15">
        <f>120000*6</f>
        <v>720000</v>
      </c>
      <c r="I17" s="110">
        <f>급여산출기초1!I18</f>
        <v>2731000</v>
      </c>
      <c r="J17" s="83">
        <f t="shared" si="2"/>
        <v>4719400</v>
      </c>
      <c r="K17" s="83">
        <f t="shared" si="3"/>
        <v>17403400</v>
      </c>
      <c r="L17" s="83">
        <f t="shared" ref="L17:L18" si="6">ROUNDDOWN(K17*14%,-1)</f>
        <v>2436470</v>
      </c>
      <c r="M17" s="83">
        <f t="shared" ref="M17:M18" si="7">K17-L17</f>
        <v>14966930</v>
      </c>
    </row>
    <row r="18" spans="1:13" ht="29.25" customHeight="1" x14ac:dyDescent="0.3">
      <c r="A18" s="13">
        <v>14</v>
      </c>
      <c r="B18" s="13" t="s">
        <v>217</v>
      </c>
      <c r="C18" s="19" t="s">
        <v>265</v>
      </c>
      <c r="D18" s="184">
        <v>10</v>
      </c>
      <c r="E18" s="15">
        <f>급여산출기초1!E19</f>
        <v>1992000</v>
      </c>
      <c r="F18" s="15">
        <f t="shared" ref="F18:F19" si="8">E18*6</f>
        <v>11952000</v>
      </c>
      <c r="G18" s="15">
        <f t="shared" ref="G18:G20" si="9">E18*0.6*1</f>
        <v>1195200</v>
      </c>
      <c r="H18" s="15">
        <f t="shared" ref="H18:H20" si="10">120000*6</f>
        <v>720000</v>
      </c>
      <c r="I18" s="110">
        <f>급여산출기초1!I19</f>
        <v>2573390</v>
      </c>
      <c r="J18" s="83">
        <f t="shared" si="2"/>
        <v>4488590</v>
      </c>
      <c r="K18" s="83">
        <f t="shared" si="3"/>
        <v>16440590</v>
      </c>
      <c r="L18" s="83">
        <f t="shared" si="6"/>
        <v>2301680</v>
      </c>
      <c r="M18" s="83">
        <f t="shared" si="7"/>
        <v>14138910</v>
      </c>
    </row>
    <row r="19" spans="1:13" ht="31.5" customHeight="1" x14ac:dyDescent="0.3">
      <c r="A19" s="13">
        <v>15</v>
      </c>
      <c r="B19" s="13" t="s">
        <v>217</v>
      </c>
      <c r="C19" s="19" t="s">
        <v>266</v>
      </c>
      <c r="D19" s="184">
        <v>10</v>
      </c>
      <c r="E19" s="15">
        <f>급여산출기초1!E20</f>
        <v>2052000</v>
      </c>
      <c r="F19" s="15">
        <f t="shared" si="8"/>
        <v>12312000</v>
      </c>
      <c r="G19" s="15">
        <f t="shared" si="9"/>
        <v>1231200</v>
      </c>
      <c r="H19" s="15">
        <f t="shared" si="10"/>
        <v>720000</v>
      </c>
      <c r="I19" s="110">
        <f>급여산출기초1!I20</f>
        <v>2650900</v>
      </c>
      <c r="J19" s="83">
        <f t="shared" ref="J19:J20" si="11">SUM(G19:I19)</f>
        <v>4602100</v>
      </c>
      <c r="K19" s="83">
        <f t="shared" ref="K19:K20" si="12">F19+J19</f>
        <v>16914100</v>
      </c>
      <c r="L19" s="83">
        <f t="shared" ref="L19:L20" si="13">ROUNDDOWN(K19*14%,-1)</f>
        <v>2367970</v>
      </c>
      <c r="M19" s="83">
        <f t="shared" ref="M19:M20" si="14">K19-L19</f>
        <v>14546130</v>
      </c>
    </row>
    <row r="20" spans="1:13" ht="31.5" customHeight="1" x14ac:dyDescent="0.3">
      <c r="A20" s="13">
        <v>16</v>
      </c>
      <c r="B20" s="13" t="s">
        <v>217</v>
      </c>
      <c r="C20" s="19" t="s">
        <v>267</v>
      </c>
      <c r="D20" s="184">
        <v>10</v>
      </c>
      <c r="E20" s="15">
        <f>급여산출기초1!E21</f>
        <v>2052000</v>
      </c>
      <c r="F20" s="15">
        <f>E20*2</f>
        <v>4104000</v>
      </c>
      <c r="G20" s="15">
        <f t="shared" si="9"/>
        <v>1231200</v>
      </c>
      <c r="H20" s="15">
        <f t="shared" si="10"/>
        <v>720000</v>
      </c>
      <c r="I20" s="110">
        <f>급여산출기초1!I21</f>
        <v>883630</v>
      </c>
      <c r="J20" s="83">
        <f t="shared" si="11"/>
        <v>2834830</v>
      </c>
      <c r="K20" s="83">
        <f t="shared" si="12"/>
        <v>6938830</v>
      </c>
      <c r="L20" s="83">
        <f t="shared" si="13"/>
        <v>971430</v>
      </c>
      <c r="M20" s="83">
        <f t="shared" si="14"/>
        <v>5967400</v>
      </c>
    </row>
    <row r="21" spans="1:13" ht="19.5" customHeight="1" x14ac:dyDescent="0.3">
      <c r="G21" s="111"/>
      <c r="H21" s="111"/>
      <c r="I21" s="111"/>
      <c r="J21" s="111"/>
      <c r="K21" s="111"/>
      <c r="L21" s="111"/>
      <c r="M21" s="111"/>
    </row>
    <row r="22" spans="1:13" ht="19.5" customHeight="1" x14ac:dyDescent="0.3">
      <c r="G22" s="111"/>
      <c r="H22" s="111"/>
      <c r="I22" s="111"/>
      <c r="J22" s="111"/>
      <c r="K22" s="111"/>
      <c r="L22" s="111"/>
      <c r="M22" s="111"/>
    </row>
    <row r="23" spans="1:13" x14ac:dyDescent="0.3">
      <c r="G23" s="111"/>
      <c r="H23" s="111"/>
      <c r="I23" s="111"/>
      <c r="J23" s="111"/>
      <c r="K23" s="111"/>
      <c r="L23" s="111"/>
      <c r="M23" s="111"/>
    </row>
    <row r="24" spans="1:13" x14ac:dyDescent="0.3">
      <c r="G24" s="111"/>
      <c r="H24" s="111"/>
      <c r="I24" s="111"/>
      <c r="J24" s="111"/>
      <c r="K24" s="111"/>
      <c r="L24" s="111"/>
      <c r="M24" s="111"/>
    </row>
    <row r="25" spans="1:13" x14ac:dyDescent="0.3">
      <c r="G25" s="111"/>
      <c r="H25" s="111"/>
      <c r="I25" s="111"/>
      <c r="J25" s="111"/>
      <c r="K25" s="111"/>
      <c r="L25" s="111"/>
      <c r="M25" s="111"/>
    </row>
    <row r="26" spans="1:13" x14ac:dyDescent="0.3">
      <c r="G26" s="111"/>
      <c r="H26" s="111"/>
      <c r="I26" s="111"/>
      <c r="J26" s="111"/>
      <c r="K26" s="111"/>
      <c r="L26" s="111"/>
      <c r="M26" s="111"/>
    </row>
    <row r="27" spans="1:13" x14ac:dyDescent="0.3">
      <c r="G27" s="111"/>
      <c r="H27" s="111"/>
      <c r="I27" s="111"/>
      <c r="J27" s="111"/>
      <c r="K27" s="111"/>
      <c r="L27" s="111"/>
      <c r="M27" s="111"/>
    </row>
    <row r="28" spans="1:13" x14ac:dyDescent="0.3">
      <c r="G28" s="111"/>
      <c r="H28" s="111"/>
      <c r="I28" s="111"/>
      <c r="J28" s="111"/>
      <c r="K28" s="111"/>
      <c r="L28" s="111"/>
      <c r="M28" s="111"/>
    </row>
    <row r="29" spans="1:13" x14ac:dyDescent="0.3">
      <c r="G29" s="111"/>
      <c r="H29" s="111"/>
      <c r="I29" s="111"/>
      <c r="J29" s="111"/>
      <c r="K29" s="111"/>
      <c r="L29" s="111"/>
      <c r="M29" s="111"/>
    </row>
    <row r="30" spans="1:13" x14ac:dyDescent="0.3">
      <c r="G30" s="111"/>
      <c r="H30" s="111"/>
      <c r="I30" s="111"/>
      <c r="J30" s="111"/>
      <c r="K30" s="111"/>
      <c r="L30" s="111"/>
      <c r="M30" s="111"/>
    </row>
    <row r="31" spans="1:13" x14ac:dyDescent="0.3">
      <c r="G31" s="111"/>
      <c r="H31" s="111"/>
      <c r="I31" s="111"/>
      <c r="J31" s="111"/>
      <c r="K31" s="111"/>
      <c r="L31" s="111"/>
      <c r="M31" s="111"/>
    </row>
    <row r="32" spans="1:13" x14ac:dyDescent="0.3">
      <c r="G32" s="111"/>
      <c r="H32" s="111"/>
      <c r="I32" s="111"/>
      <c r="J32" s="111"/>
      <c r="K32" s="111"/>
      <c r="L32" s="111"/>
      <c r="M32" s="111"/>
    </row>
    <row r="33" spans="7:13" x14ac:dyDescent="0.3">
      <c r="G33" s="111"/>
      <c r="H33" s="111"/>
      <c r="I33" s="111"/>
      <c r="J33" s="111"/>
      <c r="K33" s="111"/>
      <c r="L33" s="111"/>
      <c r="M33" s="111"/>
    </row>
    <row r="34" spans="7:13" x14ac:dyDescent="0.3">
      <c r="G34" s="111"/>
      <c r="H34" s="111"/>
      <c r="I34" s="111"/>
      <c r="J34" s="111"/>
      <c r="K34" s="111"/>
      <c r="L34" s="111"/>
      <c r="M34" s="111"/>
    </row>
  </sheetData>
  <mergeCells count="3">
    <mergeCell ref="A4:D4"/>
    <mergeCell ref="A2:B2"/>
    <mergeCell ref="A1:M1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IV19"/>
  <sheetViews>
    <sheetView zoomScaleNormal="100" workbookViewId="0">
      <selection activeCell="C18" sqref="C18"/>
    </sheetView>
  </sheetViews>
  <sheetFormatPr defaultColWidth="9" defaultRowHeight="13.5" x14ac:dyDescent="0.3"/>
  <cols>
    <col min="1" max="1" width="6.25" style="22" customWidth="1"/>
    <col min="2" max="2" width="15.5" style="29" customWidth="1"/>
    <col min="3" max="3" width="17.75" style="30" customWidth="1"/>
    <col min="4" max="4" width="15" style="30" customWidth="1"/>
    <col min="5" max="5" width="10" style="29" customWidth="1"/>
    <col min="6" max="6" width="5.25" style="29" bestFit="1" customWidth="1"/>
    <col min="7" max="7" width="16.875" style="29" customWidth="1"/>
    <col min="8" max="8" width="27.25" style="29" customWidth="1"/>
    <col min="9" max="9" width="11.75" style="29" customWidth="1"/>
    <col min="10" max="256" width="10" style="29" customWidth="1"/>
    <col min="257" max="16384" width="9" style="22"/>
  </cols>
  <sheetData>
    <row r="1" spans="2:9" ht="29.25" customHeight="1" x14ac:dyDescent="0.3">
      <c r="B1" s="290" t="s">
        <v>308</v>
      </c>
      <c r="C1" s="290"/>
      <c r="D1" s="290"/>
      <c r="E1" s="290"/>
      <c r="F1" s="290"/>
      <c r="G1" s="290"/>
      <c r="H1" s="290"/>
      <c r="I1" s="290"/>
    </row>
    <row r="2" spans="2:9" ht="27.75" customHeight="1" x14ac:dyDescent="0.3">
      <c r="B2" s="53" t="s">
        <v>146</v>
      </c>
      <c r="C2" s="22"/>
      <c r="D2" s="50"/>
      <c r="E2" s="52"/>
      <c r="F2" s="51"/>
      <c r="G2" s="50"/>
      <c r="H2" s="49"/>
      <c r="I2" s="48" t="s">
        <v>113</v>
      </c>
    </row>
    <row r="3" spans="2:9" ht="27" customHeight="1" x14ac:dyDescent="0.3">
      <c r="B3" s="297" t="s">
        <v>61</v>
      </c>
      <c r="C3" s="297"/>
      <c r="D3" s="45" t="s">
        <v>50</v>
      </c>
      <c r="E3" s="47" t="s">
        <v>140</v>
      </c>
      <c r="F3" s="46" t="s">
        <v>151</v>
      </c>
      <c r="G3" s="45" t="s">
        <v>69</v>
      </c>
      <c r="H3" s="44" t="s">
        <v>156</v>
      </c>
      <c r="I3" s="44" t="s">
        <v>76</v>
      </c>
    </row>
    <row r="4" spans="2:9" ht="27" customHeight="1" x14ac:dyDescent="0.3">
      <c r="B4" s="298" t="s">
        <v>3</v>
      </c>
      <c r="C4" s="42" t="s">
        <v>159</v>
      </c>
      <c r="D4" s="197">
        <v>254627</v>
      </c>
      <c r="E4" s="198" t="s">
        <v>68</v>
      </c>
      <c r="F4" s="199">
        <v>30</v>
      </c>
      <c r="G4" s="200">
        <f>D4*30*12</f>
        <v>91665720</v>
      </c>
      <c r="H4" s="43" t="s">
        <v>252</v>
      </c>
      <c r="I4" s="295" t="s">
        <v>254</v>
      </c>
    </row>
    <row r="5" spans="2:9" ht="27" customHeight="1" x14ac:dyDescent="0.3">
      <c r="B5" s="299"/>
      <c r="C5" s="42" t="s">
        <v>41</v>
      </c>
      <c r="D5" s="197">
        <v>11185</v>
      </c>
      <c r="E5" s="198" t="s">
        <v>68</v>
      </c>
      <c r="F5" s="199">
        <v>30</v>
      </c>
      <c r="G5" s="200">
        <f>D5*F5*12</f>
        <v>4026600</v>
      </c>
      <c r="H5" s="43" t="s">
        <v>253</v>
      </c>
      <c r="I5" s="296"/>
    </row>
    <row r="6" spans="2:9" ht="27" customHeight="1" x14ac:dyDescent="0.3">
      <c r="B6" s="299"/>
      <c r="C6" s="42" t="s">
        <v>147</v>
      </c>
      <c r="D6" s="197">
        <v>2240</v>
      </c>
      <c r="E6" s="198" t="s">
        <v>68</v>
      </c>
      <c r="F6" s="199">
        <v>30</v>
      </c>
      <c r="G6" s="200">
        <f>D6*F6*12</f>
        <v>806400</v>
      </c>
      <c r="H6" s="43" t="s">
        <v>222</v>
      </c>
      <c r="I6" s="296"/>
    </row>
    <row r="7" spans="2:9" ht="27" customHeight="1" x14ac:dyDescent="0.3">
      <c r="B7" s="293" t="s">
        <v>46</v>
      </c>
      <c r="C7" s="293"/>
      <c r="D7" s="201">
        <f>SUM(D4:D6)</f>
        <v>268052</v>
      </c>
      <c r="E7" s="202" t="s">
        <v>68</v>
      </c>
      <c r="F7" s="203"/>
      <c r="G7" s="204">
        <f>SUM(G4:G6)</f>
        <v>96498720</v>
      </c>
      <c r="H7" s="73" t="s">
        <v>255</v>
      </c>
      <c r="I7" s="296"/>
    </row>
    <row r="8" spans="2:9" ht="25.5" customHeight="1" x14ac:dyDescent="0.3">
      <c r="B8" s="291" t="s">
        <v>155</v>
      </c>
      <c r="C8" s="291"/>
      <c r="D8" s="205">
        <v>40000</v>
      </c>
      <c r="E8" s="206" t="s">
        <v>73</v>
      </c>
      <c r="F8" s="207">
        <v>30</v>
      </c>
      <c r="G8" s="200">
        <f>D8*30</f>
        <v>1200000</v>
      </c>
      <c r="H8" s="97" t="s">
        <v>223</v>
      </c>
      <c r="I8" s="41"/>
    </row>
    <row r="9" spans="2:9" ht="25.5" customHeight="1" x14ac:dyDescent="0.3">
      <c r="B9" s="292" t="s">
        <v>30</v>
      </c>
      <c r="C9" s="292"/>
      <c r="D9" s="195" t="s">
        <v>270</v>
      </c>
      <c r="E9" s="40" t="s">
        <v>53</v>
      </c>
      <c r="F9" s="39">
        <v>30</v>
      </c>
      <c r="G9" s="101">
        <f>40000*30+50000*30</f>
        <v>2700000</v>
      </c>
      <c r="H9" s="196" t="s">
        <v>271</v>
      </c>
      <c r="I9" s="34"/>
    </row>
    <row r="10" spans="2:9" ht="26.25" customHeight="1" x14ac:dyDescent="0.3">
      <c r="B10" s="293" t="s">
        <v>46</v>
      </c>
      <c r="C10" s="293"/>
      <c r="D10" s="38"/>
      <c r="E10" s="37"/>
      <c r="F10" s="36"/>
      <c r="G10" s="102">
        <f>SUM(G8:G9)</f>
        <v>3900000</v>
      </c>
      <c r="H10" s="35"/>
      <c r="I10" s="34"/>
    </row>
    <row r="11" spans="2:9" ht="26.25" customHeight="1" x14ac:dyDescent="0.15">
      <c r="B11" s="294" t="s">
        <v>142</v>
      </c>
      <c r="C11" s="294"/>
      <c r="D11" s="294"/>
      <c r="E11" s="294"/>
      <c r="F11" s="294"/>
      <c r="G11" s="103">
        <f>G7+G10</f>
        <v>100398720</v>
      </c>
      <c r="H11" s="33"/>
      <c r="I11" s="32"/>
    </row>
    <row r="12" spans="2:9" ht="30" customHeight="1" x14ac:dyDescent="0.3">
      <c r="B12" s="289" t="s">
        <v>309</v>
      </c>
      <c r="C12" s="289"/>
      <c r="D12" s="289"/>
      <c r="E12" s="289"/>
      <c r="F12" s="289"/>
      <c r="G12" s="289"/>
      <c r="H12" s="289"/>
      <c r="I12" s="289"/>
    </row>
    <row r="15" spans="2:9" x14ac:dyDescent="0.3">
      <c r="G15" s="31"/>
    </row>
    <row r="19" spans="5:5" x14ac:dyDescent="0.3">
      <c r="E19" s="194"/>
    </row>
  </sheetData>
  <mergeCells count="10">
    <mergeCell ref="B12:I12"/>
    <mergeCell ref="B1:I1"/>
    <mergeCell ref="B8:C8"/>
    <mergeCell ref="B9:C9"/>
    <mergeCell ref="B10:C10"/>
    <mergeCell ref="B11:F11"/>
    <mergeCell ref="I4:I7"/>
    <mergeCell ref="B3:C3"/>
    <mergeCell ref="B7:C7"/>
    <mergeCell ref="B4:B6"/>
  </mergeCells>
  <phoneticPr fontId="18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U28"/>
  <sheetViews>
    <sheetView tabSelected="1" zoomScaleNormal="100" workbookViewId="0">
      <selection activeCell="B16" sqref="B16"/>
    </sheetView>
  </sheetViews>
  <sheetFormatPr defaultColWidth="8.875" defaultRowHeight="16.5" x14ac:dyDescent="0.3"/>
  <cols>
    <col min="1" max="1" width="19.75" style="29" bestFit="1" customWidth="1"/>
    <col min="2" max="2" width="17.625" style="54" customWidth="1"/>
    <col min="3" max="3" width="19.625" style="29" customWidth="1"/>
    <col min="4" max="4" width="37.5" style="29" bestFit="1" customWidth="1"/>
    <col min="5" max="5" width="10" style="29" customWidth="1"/>
    <col min="6" max="16132" width="9" style="22"/>
  </cols>
  <sheetData>
    <row r="1" spans="1:5 16133:16141" ht="22.5" customHeight="1" x14ac:dyDescent="0.3">
      <c r="A1" s="300" t="s">
        <v>310</v>
      </c>
      <c r="B1" s="300"/>
      <c r="C1" s="300"/>
      <c r="D1" s="300"/>
      <c r="E1" s="300"/>
    </row>
    <row r="2" spans="1:5 16133:16141" ht="17.25" customHeight="1" x14ac:dyDescent="0.25">
      <c r="A2" s="25" t="s">
        <v>146</v>
      </c>
      <c r="B2" s="24"/>
      <c r="C2" s="23"/>
      <c r="D2" s="23"/>
      <c r="E2" s="67" t="s">
        <v>113</v>
      </c>
    </row>
    <row r="3" spans="1:5 16133:16141" ht="21.95" customHeight="1" x14ac:dyDescent="0.3">
      <c r="A3" s="64" t="s">
        <v>61</v>
      </c>
      <c r="B3" s="66" t="s">
        <v>154</v>
      </c>
      <c r="C3" s="64" t="s">
        <v>69</v>
      </c>
      <c r="D3" s="65" t="s">
        <v>156</v>
      </c>
      <c r="E3" s="64" t="s">
        <v>76</v>
      </c>
    </row>
    <row r="4" spans="1:5 16133:16141" ht="21.95" hidden="1" customHeight="1" x14ac:dyDescent="0.3">
      <c r="A4" s="57" t="s">
        <v>158</v>
      </c>
      <c r="B4" s="61" t="s">
        <v>23</v>
      </c>
      <c r="C4" s="60"/>
      <c r="D4" s="62" t="s">
        <v>164</v>
      </c>
      <c r="E4" s="301" t="s">
        <v>218</v>
      </c>
    </row>
    <row r="5" spans="1:5 16133:16141" ht="21.95" customHeight="1" x14ac:dyDescent="0.3">
      <c r="A5" s="193" t="s">
        <v>137</v>
      </c>
      <c r="B5" s="192" t="s">
        <v>272</v>
      </c>
      <c r="C5" s="186">
        <f>136900*30*12</f>
        <v>49284000</v>
      </c>
      <c r="D5" s="62" t="s">
        <v>273</v>
      </c>
      <c r="E5" s="302"/>
    </row>
    <row r="6" spans="1:5 16133:16141" ht="21.95" customHeight="1" x14ac:dyDescent="0.3">
      <c r="A6" s="57" t="s">
        <v>27</v>
      </c>
      <c r="B6" s="61" t="s">
        <v>29</v>
      </c>
      <c r="C6" s="60">
        <f>14270*30</f>
        <v>428100</v>
      </c>
      <c r="D6" s="58" t="s">
        <v>219</v>
      </c>
      <c r="E6" s="59"/>
    </row>
    <row r="7" spans="1:5 16133:16141" ht="56.25" customHeight="1" x14ac:dyDescent="0.3">
      <c r="A7" s="57" t="s">
        <v>120</v>
      </c>
      <c r="B7" s="61" t="s">
        <v>73</v>
      </c>
      <c r="C7" s="186">
        <v>1446000</v>
      </c>
      <c r="D7" s="98" t="s">
        <v>236</v>
      </c>
      <c r="E7" s="59"/>
    </row>
    <row r="8" spans="1:5 16133:16141" ht="21.95" customHeight="1" x14ac:dyDescent="0.3">
      <c r="A8" s="305" t="s">
        <v>72</v>
      </c>
      <c r="B8" s="305"/>
      <c r="C8" s="99">
        <f>SUM(C4:C7)</f>
        <v>51158100</v>
      </c>
      <c r="D8" s="69"/>
      <c r="E8" s="68"/>
    </row>
    <row r="9" spans="1:5 16133:16141" ht="9" customHeight="1" x14ac:dyDescent="0.3">
      <c r="A9" s="91"/>
      <c r="B9" s="91"/>
      <c r="C9" s="93"/>
      <c r="D9" s="92"/>
      <c r="E9" s="92"/>
    </row>
    <row r="10" spans="1:5 16133:16141" ht="19.5" customHeight="1" x14ac:dyDescent="0.3">
      <c r="A10" s="300" t="s">
        <v>311</v>
      </c>
      <c r="B10" s="300"/>
      <c r="C10" s="300"/>
      <c r="D10" s="300"/>
      <c r="E10" s="300"/>
    </row>
    <row r="11" spans="1:5 16133:16141" ht="21.95" customHeight="1" x14ac:dyDescent="0.25">
      <c r="A11" s="25" t="s">
        <v>146</v>
      </c>
      <c r="B11" s="24"/>
      <c r="C11" s="23"/>
      <c r="D11" s="23"/>
      <c r="E11" s="67" t="s">
        <v>113</v>
      </c>
    </row>
    <row r="12" spans="1:5 16133:16141" ht="21.95" customHeight="1" x14ac:dyDescent="0.3">
      <c r="A12" s="64" t="s">
        <v>61</v>
      </c>
      <c r="B12" s="66" t="s">
        <v>154</v>
      </c>
      <c r="C12" s="64" t="s">
        <v>69</v>
      </c>
      <c r="D12" s="65" t="s">
        <v>156</v>
      </c>
      <c r="E12" s="64" t="s">
        <v>76</v>
      </c>
    </row>
    <row r="13" spans="1:5 16133:16141" ht="21.95" hidden="1" customHeight="1" x14ac:dyDescent="0.3">
      <c r="A13" s="57" t="s">
        <v>131</v>
      </c>
      <c r="B13" s="61" t="s">
        <v>24</v>
      </c>
      <c r="C13" s="60"/>
      <c r="D13" s="62" t="s">
        <v>79</v>
      </c>
      <c r="E13" s="59"/>
    </row>
    <row r="14" spans="1:5 16133:16141" ht="21.95" customHeight="1" x14ac:dyDescent="0.3">
      <c r="A14" s="57" t="s">
        <v>181</v>
      </c>
      <c r="B14" s="61" t="s">
        <v>239</v>
      </c>
      <c r="C14" s="186">
        <f>40000*16*12</f>
        <v>7680000</v>
      </c>
      <c r="D14" s="62" t="s">
        <v>242</v>
      </c>
      <c r="E14" s="57" t="s">
        <v>245</v>
      </c>
    </row>
    <row r="15" spans="1:5 16133:16141" s="22" customFormat="1" ht="30.75" customHeight="1" x14ac:dyDescent="0.3">
      <c r="A15" s="57" t="s">
        <v>129</v>
      </c>
      <c r="B15" s="61" t="s">
        <v>237</v>
      </c>
      <c r="C15" s="186">
        <f>28000*9*12</f>
        <v>3024000</v>
      </c>
      <c r="D15" s="63" t="s">
        <v>243</v>
      </c>
      <c r="E15" s="57" t="s">
        <v>244</v>
      </c>
      <c r="WVM15"/>
      <c r="WVN15"/>
      <c r="WVO15"/>
      <c r="WVP15"/>
      <c r="WVQ15"/>
      <c r="WVR15"/>
      <c r="WVS15"/>
      <c r="WVT15"/>
      <c r="WVU15"/>
    </row>
    <row r="16" spans="1:5 16133:16141" ht="21.75" customHeight="1" x14ac:dyDescent="0.3">
      <c r="A16" s="57" t="s">
        <v>22</v>
      </c>
      <c r="B16" s="61" t="s">
        <v>238</v>
      </c>
      <c r="C16" s="186">
        <f>22000*4*12</f>
        <v>1056000</v>
      </c>
      <c r="D16" s="63" t="s">
        <v>247</v>
      </c>
      <c r="E16" s="57" t="s">
        <v>246</v>
      </c>
    </row>
    <row r="17" spans="1:5 16133:16141" s="22" customFormat="1" ht="21.95" customHeight="1" x14ac:dyDescent="0.3">
      <c r="A17" s="190" t="s">
        <v>130</v>
      </c>
      <c r="B17" s="189" t="s">
        <v>269</v>
      </c>
      <c r="C17" s="189">
        <f>30000*30</f>
        <v>900000</v>
      </c>
      <c r="D17" s="191" t="s">
        <v>268</v>
      </c>
      <c r="E17" s="190" t="s">
        <v>220</v>
      </c>
      <c r="WVM17"/>
      <c r="WVN17"/>
      <c r="WVO17"/>
      <c r="WVP17"/>
      <c r="WVQ17"/>
      <c r="WVR17"/>
      <c r="WVS17"/>
      <c r="WVT17"/>
      <c r="WVU17"/>
    </row>
    <row r="18" spans="1:5 16133:16141" s="22" customFormat="1" ht="28.5" customHeight="1" x14ac:dyDescent="0.3">
      <c r="A18" s="57" t="s">
        <v>32</v>
      </c>
      <c r="B18" s="61" t="s">
        <v>168</v>
      </c>
      <c r="C18" s="186">
        <f>1600*240*30</f>
        <v>11520000</v>
      </c>
      <c r="D18" s="63" t="s">
        <v>202</v>
      </c>
      <c r="E18" s="57" t="s">
        <v>209</v>
      </c>
      <c r="WVM18"/>
      <c r="WVN18"/>
      <c r="WVO18"/>
      <c r="WVP18"/>
      <c r="WVQ18"/>
      <c r="WVR18"/>
      <c r="WVS18"/>
      <c r="WVT18"/>
      <c r="WVU18"/>
    </row>
    <row r="19" spans="1:5 16133:16141" ht="24" x14ac:dyDescent="0.3">
      <c r="A19" s="57" t="s">
        <v>91</v>
      </c>
      <c r="B19" s="61" t="s">
        <v>28</v>
      </c>
      <c r="C19" s="186">
        <f>10*120000</f>
        <v>1200000</v>
      </c>
      <c r="D19" s="63" t="s">
        <v>221</v>
      </c>
      <c r="E19" s="57" t="s">
        <v>248</v>
      </c>
    </row>
    <row r="20" spans="1:5 16133:16141" ht="27" customHeight="1" x14ac:dyDescent="0.3">
      <c r="A20" s="57" t="s">
        <v>182</v>
      </c>
      <c r="B20" s="61" t="s">
        <v>183</v>
      </c>
      <c r="C20" s="186">
        <f>120000*16</f>
        <v>1920000</v>
      </c>
      <c r="D20" s="98" t="s">
        <v>249</v>
      </c>
      <c r="E20" s="57" t="s">
        <v>245</v>
      </c>
    </row>
    <row r="21" spans="1:5 16133:16141" ht="21.95" customHeight="1" x14ac:dyDescent="0.3">
      <c r="A21" s="57" t="s">
        <v>20</v>
      </c>
      <c r="B21" s="61" t="s">
        <v>167</v>
      </c>
      <c r="C21" s="186">
        <f>9*100000</f>
        <v>900000</v>
      </c>
      <c r="D21" s="58" t="s">
        <v>250</v>
      </c>
      <c r="E21" s="57" t="s">
        <v>244</v>
      </c>
    </row>
    <row r="22" spans="1:5 16133:16141" s="22" customFormat="1" ht="21.95" customHeight="1" x14ac:dyDescent="0.3">
      <c r="A22" s="57" t="s">
        <v>26</v>
      </c>
      <c r="B22" s="61" t="s">
        <v>21</v>
      </c>
      <c r="C22" s="186">
        <f>80000*4</f>
        <v>320000</v>
      </c>
      <c r="D22" s="58" t="s">
        <v>251</v>
      </c>
      <c r="E22" s="57" t="s">
        <v>246</v>
      </c>
      <c r="WVM22"/>
      <c r="WVN22"/>
      <c r="WVO22"/>
      <c r="WVP22"/>
      <c r="WVQ22"/>
      <c r="WVR22"/>
      <c r="WVS22"/>
      <c r="WVT22"/>
      <c r="WVU22"/>
    </row>
    <row r="23" spans="1:5 16133:16141" s="22" customFormat="1" ht="21.95" hidden="1" customHeight="1" x14ac:dyDescent="0.3">
      <c r="A23" s="57" t="s">
        <v>133</v>
      </c>
      <c r="B23" s="61" t="s">
        <v>163</v>
      </c>
      <c r="C23" s="186"/>
      <c r="D23" s="58"/>
      <c r="E23" s="59"/>
      <c r="WVM23"/>
      <c r="WVN23"/>
      <c r="WVO23"/>
      <c r="WVP23"/>
      <c r="WVQ23"/>
      <c r="WVR23"/>
      <c r="WVS23"/>
      <c r="WVT23"/>
      <c r="WVU23"/>
    </row>
    <row r="24" spans="1:5 16133:16141" s="22" customFormat="1" ht="21.95" customHeight="1" x14ac:dyDescent="0.3">
      <c r="A24" s="57" t="s">
        <v>229</v>
      </c>
      <c r="B24" s="61" t="s">
        <v>230</v>
      </c>
      <c r="C24" s="186">
        <v>518000</v>
      </c>
      <c r="D24" s="58" t="s">
        <v>231</v>
      </c>
      <c r="E24" s="59"/>
      <c r="WVM24"/>
      <c r="WVN24"/>
      <c r="WVO24"/>
      <c r="WVP24"/>
      <c r="WVQ24"/>
      <c r="WVR24"/>
      <c r="WVS24"/>
      <c r="WVT24"/>
      <c r="WVU24"/>
    </row>
    <row r="25" spans="1:5 16133:16141" s="22" customFormat="1" ht="21.95" customHeight="1" x14ac:dyDescent="0.3">
      <c r="A25" s="57" t="s">
        <v>240</v>
      </c>
      <c r="B25" s="61" t="s">
        <v>241</v>
      </c>
      <c r="C25" s="186">
        <v>1700000</v>
      </c>
      <c r="D25" s="58" t="s">
        <v>256</v>
      </c>
      <c r="E25" s="57" t="s">
        <v>257</v>
      </c>
      <c r="WVM25"/>
      <c r="WVN25"/>
      <c r="WVO25"/>
      <c r="WVP25"/>
      <c r="WVQ25"/>
      <c r="WVR25"/>
      <c r="WVS25"/>
      <c r="WVT25"/>
      <c r="WVU25"/>
    </row>
    <row r="26" spans="1:5 16133:16141" ht="21.95" customHeight="1" x14ac:dyDescent="0.3">
      <c r="A26" s="57" t="s">
        <v>145</v>
      </c>
      <c r="B26" s="61" t="s">
        <v>165</v>
      </c>
      <c r="C26" s="186">
        <v>2000000</v>
      </c>
      <c r="D26" s="58"/>
      <c r="E26" s="59"/>
    </row>
    <row r="27" spans="1:5 16133:16141" ht="21.95" customHeight="1" x14ac:dyDescent="0.3">
      <c r="A27" s="304" t="s">
        <v>72</v>
      </c>
      <c r="B27" s="304"/>
      <c r="C27" s="99">
        <f>SUM(C13:C26)</f>
        <v>32738000</v>
      </c>
      <c r="D27" s="58"/>
      <c r="E27" s="57"/>
    </row>
    <row r="28" spans="1:5 16133:16141" s="27" customFormat="1" ht="21.95" customHeight="1" x14ac:dyDescent="0.3">
      <c r="A28" s="303" t="s">
        <v>70</v>
      </c>
      <c r="B28" s="303"/>
      <c r="C28" s="100">
        <f>C8+C27</f>
        <v>83896100</v>
      </c>
      <c r="D28" s="56"/>
      <c r="E28" s="55"/>
    </row>
  </sheetData>
  <mergeCells count="6">
    <mergeCell ref="A1:E1"/>
    <mergeCell ref="E4:E5"/>
    <mergeCell ref="A10:E10"/>
    <mergeCell ref="A28:B28"/>
    <mergeCell ref="A27:B27"/>
    <mergeCell ref="A8:B8"/>
  </mergeCells>
  <phoneticPr fontId="18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김문정</cp:lastModifiedBy>
  <cp:revision>153</cp:revision>
  <cp:lastPrinted>2021-12-22T13:14:16Z</cp:lastPrinted>
  <dcterms:created xsi:type="dcterms:W3CDTF">2013-12-12T01:03:00Z</dcterms:created>
  <dcterms:modified xsi:type="dcterms:W3CDTF">2021-12-22T13:25:56Z</dcterms:modified>
</cp:coreProperties>
</file>