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9040" windowHeight="15840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생계비" sheetId="6" r:id="rId6"/>
    <sheet name="운영비" sheetId="7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5621"/>
</workbook>
</file>

<file path=xl/calcChain.xml><?xml version="1.0" encoding="utf-8"?>
<calcChain xmlns="http://schemas.openxmlformats.org/spreadsheetml/2006/main">
  <c r="G48" i="2" l="1"/>
  <c r="G35" i="2"/>
  <c r="G47" i="2"/>
  <c r="G51" i="2"/>
  <c r="G43" i="2"/>
  <c r="G27" i="2"/>
  <c r="F14" i="2"/>
  <c r="F32" i="2" l="1"/>
  <c r="F4" i="6" l="1"/>
  <c r="F36" i="2" l="1"/>
  <c r="G22" i="2" l="1"/>
  <c r="G24" i="1" l="1"/>
  <c r="G23" i="1"/>
  <c r="G26" i="1"/>
  <c r="E26" i="1"/>
  <c r="E60" i="2"/>
  <c r="E59" i="2" s="1"/>
  <c r="E57" i="2"/>
  <c r="E56" i="2" s="1"/>
  <c r="E46" i="2"/>
  <c r="G41" i="2"/>
  <c r="G40" i="2"/>
  <c r="G38" i="2"/>
  <c r="E37" i="2"/>
  <c r="F34" i="2"/>
  <c r="F33" i="2"/>
  <c r="E31" i="2"/>
  <c r="G29" i="2"/>
  <c r="F28" i="2"/>
  <c r="E26" i="2"/>
  <c r="E25" i="2"/>
  <c r="G23" i="2"/>
  <c r="F21" i="2"/>
  <c r="F20" i="2"/>
  <c r="F19" i="2"/>
  <c r="E18" i="2"/>
  <c r="F18" i="2" s="1"/>
  <c r="G17" i="2"/>
  <c r="G16" i="2"/>
  <c r="E15" i="2"/>
  <c r="F13" i="2"/>
  <c r="F12" i="2"/>
  <c r="F11" i="2"/>
  <c r="F10" i="2"/>
  <c r="F9" i="2"/>
  <c r="E8" i="2"/>
  <c r="D60" i="2"/>
  <c r="D59" i="2"/>
  <c r="D57" i="2"/>
  <c r="D56" i="2" s="1"/>
  <c r="D46" i="2"/>
  <c r="D37" i="2"/>
  <c r="D31" i="2"/>
  <c r="D26" i="2"/>
  <c r="D25" i="2"/>
  <c r="D18" i="2"/>
  <c r="D15" i="2"/>
  <c r="D8" i="2"/>
  <c r="C23" i="7"/>
  <c r="C22" i="7"/>
  <c r="C18" i="7"/>
  <c r="C16" i="7"/>
  <c r="C14" i="7"/>
  <c r="C13" i="7"/>
  <c r="C6" i="7"/>
  <c r="C5" i="7"/>
  <c r="C4" i="7"/>
  <c r="F5" i="6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8" i="4"/>
  <c r="J20" i="3"/>
  <c r="I20" i="3"/>
  <c r="G20" i="3"/>
  <c r="F20" i="3"/>
  <c r="G19" i="3"/>
  <c r="F19" i="3"/>
  <c r="I19" i="3" s="1"/>
  <c r="K19" i="3" s="1"/>
  <c r="J18" i="3"/>
  <c r="G18" i="3"/>
  <c r="F18" i="3"/>
  <c r="I18" i="3" s="1"/>
  <c r="J17" i="3"/>
  <c r="G17" i="3"/>
  <c r="F17" i="3"/>
  <c r="I17" i="3" s="1"/>
  <c r="J16" i="3"/>
  <c r="I16" i="3"/>
  <c r="G16" i="3"/>
  <c r="F16" i="3"/>
  <c r="J15" i="3"/>
  <c r="I15" i="3"/>
  <c r="G15" i="3"/>
  <c r="F15" i="3"/>
  <c r="I14" i="3"/>
  <c r="G14" i="3"/>
  <c r="F14" i="3"/>
  <c r="J13" i="3"/>
  <c r="G13" i="3"/>
  <c r="F13" i="3"/>
  <c r="I13" i="3" s="1"/>
  <c r="J12" i="3"/>
  <c r="G12" i="3"/>
  <c r="F12" i="3"/>
  <c r="I12" i="3" s="1"/>
  <c r="K12" i="3" s="1"/>
  <c r="G11" i="3"/>
  <c r="F11" i="3"/>
  <c r="G10" i="3"/>
  <c r="F10" i="3"/>
  <c r="J9" i="3"/>
  <c r="G9" i="3"/>
  <c r="F9" i="3"/>
  <c r="J8" i="3"/>
  <c r="G8" i="3"/>
  <c r="F8" i="3"/>
  <c r="I8" i="3" s="1"/>
  <c r="J7" i="3"/>
  <c r="G7" i="3"/>
  <c r="F7" i="3"/>
  <c r="I7" i="3" s="1"/>
  <c r="J6" i="3"/>
  <c r="K6" i="3" s="1"/>
  <c r="G6" i="3"/>
  <c r="F6" i="3"/>
  <c r="F8" i="2" l="1"/>
  <c r="G15" i="2"/>
  <c r="G46" i="2"/>
  <c r="E30" i="2"/>
  <c r="E7" i="2"/>
  <c r="D30" i="2"/>
  <c r="G37" i="2"/>
  <c r="D7" i="2"/>
  <c r="F31" i="2"/>
  <c r="C7" i="7"/>
  <c r="C24" i="7"/>
  <c r="K17" i="3"/>
  <c r="K14" i="3"/>
  <c r="K7" i="3"/>
  <c r="K15" i="3"/>
  <c r="I9" i="3"/>
  <c r="K9" i="3" s="1"/>
  <c r="K20" i="3"/>
  <c r="K8" i="3"/>
  <c r="K16" i="3"/>
  <c r="K13" i="3"/>
  <c r="K18" i="3"/>
  <c r="I10" i="3"/>
  <c r="K10" i="3" s="1"/>
  <c r="I11" i="3"/>
  <c r="K11" i="3" s="1"/>
  <c r="F30" i="2" l="1"/>
  <c r="E6" i="2"/>
  <c r="F6" i="2" s="1"/>
  <c r="D6" i="2"/>
  <c r="F7" i="2"/>
  <c r="C25" i="7"/>
  <c r="G27" i="1" l="1"/>
  <c r="G25" i="1"/>
  <c r="E24" i="1"/>
  <c r="G22" i="1"/>
  <c r="E21" i="1"/>
  <c r="E20" i="1"/>
  <c r="G19" i="1"/>
  <c r="F18" i="1"/>
  <c r="E17" i="1"/>
  <c r="G17" i="1" s="1"/>
  <c r="G15" i="1"/>
  <c r="F14" i="1"/>
  <c r="E13" i="1"/>
  <c r="E12" i="1" s="1"/>
  <c r="G11" i="1"/>
  <c r="F10" i="1"/>
  <c r="F9" i="1"/>
  <c r="E8" i="1"/>
  <c r="E7" i="1" s="1"/>
  <c r="D24" i="1"/>
  <c r="D23" i="1"/>
  <c r="D21" i="1"/>
  <c r="D20" i="1" s="1"/>
  <c r="D17" i="1"/>
  <c r="D16" i="1" s="1"/>
  <c r="D13" i="1"/>
  <c r="D12" i="1" s="1"/>
  <c r="D8" i="1"/>
  <c r="D7" i="1" s="1"/>
  <c r="D6" i="1" s="1"/>
  <c r="E23" i="1" l="1"/>
  <c r="E16" i="1"/>
  <c r="G16" i="1" s="1"/>
  <c r="E6" i="1" l="1"/>
  <c r="F6" i="1" s="1"/>
  <c r="F20" i="4" l="1"/>
  <c r="G7" i="5"/>
  <c r="G10" i="5"/>
  <c r="G13" i="5"/>
  <c r="G14" i="5"/>
  <c r="G18" i="5"/>
  <c r="E14" i="5"/>
  <c r="J11" i="4"/>
  <c r="J12" i="4"/>
  <c r="J15" i="4"/>
  <c r="J16" i="4"/>
  <c r="J20" i="4"/>
  <c r="J21" i="4"/>
  <c r="H9" i="5"/>
  <c r="H10" i="5"/>
  <c r="H13" i="5"/>
  <c r="H18" i="5"/>
  <c r="G9" i="4"/>
  <c r="G12" i="4"/>
  <c r="G13" i="4"/>
  <c r="G17" i="4"/>
  <c r="G20" i="4"/>
  <c r="G21" i="4"/>
  <c r="F6" i="5"/>
  <c r="F7" i="5"/>
  <c r="F10" i="4"/>
  <c r="F9" i="5"/>
  <c r="F10" i="5"/>
  <c r="F11" i="5"/>
  <c r="F14" i="4"/>
  <c r="F16" i="4"/>
  <c r="F17" i="4"/>
  <c r="F18" i="4"/>
  <c r="F17" i="5"/>
  <c r="F18" i="5"/>
  <c r="F21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7" i="4"/>
  <c r="F8" i="4"/>
  <c r="F9" i="4"/>
  <c r="F11" i="4"/>
  <c r="F12" i="4"/>
  <c r="F13" i="4"/>
  <c r="G9" i="5"/>
  <c r="G11" i="5"/>
  <c r="G14" i="4"/>
  <c r="G15" i="4"/>
  <c r="G16" i="4"/>
  <c r="G15" i="5"/>
  <c r="G16" i="5"/>
  <c r="G17" i="5"/>
  <c r="G19" i="5"/>
  <c r="G8" i="5"/>
  <c r="I14" i="5"/>
  <c r="H19" i="5"/>
  <c r="H14" i="5"/>
  <c r="J14" i="5" l="1"/>
  <c r="F12" i="5"/>
  <c r="F19" i="4"/>
  <c r="F13" i="5"/>
  <c r="I16" i="4"/>
  <c r="K16" i="4" s="1"/>
  <c r="L16" i="4" s="1"/>
  <c r="G19" i="4"/>
  <c r="G11" i="4"/>
  <c r="G12" i="5"/>
  <c r="F19" i="5"/>
  <c r="G18" i="4"/>
  <c r="G10" i="4"/>
  <c r="F16" i="5"/>
  <c r="F8" i="5"/>
  <c r="F15" i="4"/>
  <c r="F15" i="5"/>
  <c r="F14" i="5"/>
  <c r="K14" i="5" s="1"/>
  <c r="P16" i="4" l="1"/>
  <c r="M16" i="4"/>
  <c r="R16" i="4"/>
  <c r="O16" i="4"/>
  <c r="N16" i="4" l="1"/>
  <c r="S16" i="4"/>
  <c r="L14" i="5"/>
  <c r="M14" i="5" s="1"/>
  <c r="G6" i="5" l="1"/>
  <c r="G8" i="4"/>
  <c r="F5" i="5"/>
  <c r="F7" i="4"/>
  <c r="J18" i="4" l="1"/>
  <c r="H16" i="5"/>
  <c r="H6" i="4"/>
  <c r="F8" i="6" l="1"/>
  <c r="F6" i="6"/>
  <c r="E5" i="3"/>
  <c r="H5" i="3"/>
  <c r="F10" i="6" l="1"/>
  <c r="F7" i="6"/>
  <c r="F11" i="6" l="1"/>
  <c r="E6" i="4" l="1"/>
  <c r="D8" i="5"/>
  <c r="D9" i="5"/>
  <c r="D6" i="5"/>
  <c r="D7" i="5"/>
  <c r="D10" i="5"/>
  <c r="D12" i="5"/>
  <c r="D13" i="5"/>
  <c r="D16" i="5"/>
  <c r="D17" i="5"/>
  <c r="D18" i="5"/>
  <c r="H5" i="5"/>
  <c r="C8" i="4"/>
  <c r="C9" i="4"/>
  <c r="C10" i="4"/>
  <c r="C11" i="4"/>
  <c r="C12" i="4"/>
  <c r="C13" i="4"/>
  <c r="C14" i="4"/>
  <c r="C15" i="4"/>
  <c r="C17" i="4"/>
  <c r="C18" i="4"/>
  <c r="C19" i="4"/>
  <c r="C20" i="4"/>
  <c r="C21" i="4"/>
  <c r="C7" i="4"/>
  <c r="C7" i="6"/>
  <c r="D15" i="5"/>
  <c r="D11" i="5"/>
  <c r="I5" i="5"/>
  <c r="E19" i="5"/>
  <c r="E17" i="5"/>
  <c r="E15" i="5"/>
  <c r="E7" i="5"/>
  <c r="E6" i="5"/>
  <c r="H6" i="5" l="1"/>
  <c r="J8" i="4"/>
  <c r="J10" i="4"/>
  <c r="H8" i="5"/>
  <c r="J19" i="4"/>
  <c r="H17" i="5"/>
  <c r="J17" i="4"/>
  <c r="H15" i="5"/>
  <c r="H11" i="5"/>
  <c r="J13" i="4"/>
  <c r="H7" i="5"/>
  <c r="J9" i="4"/>
  <c r="H12" i="5"/>
  <c r="J14" i="4"/>
  <c r="F6" i="4"/>
  <c r="J5" i="3"/>
  <c r="I13" i="5"/>
  <c r="I15" i="4"/>
  <c r="K15" i="4" s="1"/>
  <c r="E11" i="5"/>
  <c r="E13" i="5"/>
  <c r="E5" i="5"/>
  <c r="E8" i="5"/>
  <c r="E10" i="5"/>
  <c r="E12" i="5"/>
  <c r="E16" i="5"/>
  <c r="E18" i="5"/>
  <c r="E9" i="5"/>
  <c r="J7" i="4"/>
  <c r="I7" i="5" l="1"/>
  <c r="I19" i="4"/>
  <c r="K19" i="4" s="1"/>
  <c r="J6" i="4"/>
  <c r="I8" i="4"/>
  <c r="K8" i="4" s="1"/>
  <c r="F5" i="3"/>
  <c r="G5" i="3"/>
  <c r="I17" i="5"/>
  <c r="J17" i="5" s="1"/>
  <c r="K17" i="5" s="1"/>
  <c r="L19" i="4"/>
  <c r="I9" i="4"/>
  <c r="K9" i="4" s="1"/>
  <c r="I6" i="5"/>
  <c r="J6" i="5" s="1"/>
  <c r="K6" i="5" s="1"/>
  <c r="J7" i="5"/>
  <c r="K7" i="5" s="1"/>
  <c r="H4" i="5"/>
  <c r="I12" i="5"/>
  <c r="I14" i="4"/>
  <c r="K14" i="4" s="1"/>
  <c r="G5" i="5"/>
  <c r="G7" i="4"/>
  <c r="K7" i="4" s="1"/>
  <c r="E4" i="5"/>
  <c r="J13" i="5"/>
  <c r="K13" i="5" s="1"/>
  <c r="L15" i="4"/>
  <c r="P15" i="4" l="1"/>
  <c r="O15" i="4"/>
  <c r="M15" i="4"/>
  <c r="N15" i="4" s="1"/>
  <c r="R15" i="4"/>
  <c r="R19" i="4"/>
  <c r="O19" i="4"/>
  <c r="P19" i="4"/>
  <c r="M19" i="4"/>
  <c r="N19" i="4" s="1"/>
  <c r="L9" i="4"/>
  <c r="G6" i="4"/>
  <c r="L8" i="4"/>
  <c r="I5" i="3"/>
  <c r="L14" i="4"/>
  <c r="J12" i="5"/>
  <c r="K12" i="5" s="1"/>
  <c r="I15" i="5"/>
  <c r="J15" i="5" s="1"/>
  <c r="K15" i="5" s="1"/>
  <c r="I17" i="4"/>
  <c r="I16" i="5"/>
  <c r="J16" i="5" s="1"/>
  <c r="K16" i="5" s="1"/>
  <c r="I18" i="4"/>
  <c r="K5" i="3"/>
  <c r="I19" i="5"/>
  <c r="J19" i="5" s="1"/>
  <c r="K19" i="5" s="1"/>
  <c r="I21" i="4"/>
  <c r="I11" i="5"/>
  <c r="J11" i="5" s="1"/>
  <c r="K11" i="5" s="1"/>
  <c r="I13" i="4"/>
  <c r="I9" i="5"/>
  <c r="J9" i="5" s="1"/>
  <c r="K9" i="5" s="1"/>
  <c r="I11" i="4"/>
  <c r="F4" i="5"/>
  <c r="I10" i="5"/>
  <c r="J10" i="5" s="1"/>
  <c r="K10" i="5" s="1"/>
  <c r="I12" i="4"/>
  <c r="I8" i="5"/>
  <c r="I10" i="4"/>
  <c r="G4" i="5"/>
  <c r="J5" i="5"/>
  <c r="K5" i="5" s="1"/>
  <c r="I18" i="5"/>
  <c r="J18" i="5" s="1"/>
  <c r="K18" i="5" s="1"/>
  <c r="I20" i="4"/>
  <c r="K17" i="4" l="1"/>
  <c r="L17" i="4" s="1"/>
  <c r="K13" i="4"/>
  <c r="L13" i="4" s="1"/>
  <c r="K10" i="4"/>
  <c r="K21" i="4"/>
  <c r="L21" i="4" s="1"/>
  <c r="O14" i="4"/>
  <c r="M14" i="4"/>
  <c r="N14" i="4" s="1"/>
  <c r="P14" i="4"/>
  <c r="R14" i="4"/>
  <c r="K12" i="4"/>
  <c r="L12" i="4" s="1"/>
  <c r="M8" i="4"/>
  <c r="N8" i="4" s="1"/>
  <c r="P8" i="4"/>
  <c r="O8" i="4"/>
  <c r="R8" i="4"/>
  <c r="K20" i="4"/>
  <c r="L20" i="4" s="1"/>
  <c r="K18" i="4"/>
  <c r="L18" i="4" s="1"/>
  <c r="K11" i="4"/>
  <c r="L11" i="4" s="1"/>
  <c r="R9" i="4"/>
  <c r="M9" i="4"/>
  <c r="N9" i="4" s="1"/>
  <c r="P9" i="4"/>
  <c r="O9" i="4"/>
  <c r="I6" i="4"/>
  <c r="L17" i="5"/>
  <c r="S19" i="4"/>
  <c r="L7" i="4"/>
  <c r="I4" i="5"/>
  <c r="J8" i="5"/>
  <c r="K8" i="5" s="1"/>
  <c r="S15" i="4"/>
  <c r="K6" i="4" l="1"/>
  <c r="M20" i="4"/>
  <c r="N20" i="4" s="1"/>
  <c r="R20" i="4"/>
  <c r="O20" i="4"/>
  <c r="P20" i="4"/>
  <c r="O18" i="4"/>
  <c r="R18" i="4"/>
  <c r="M18" i="4"/>
  <c r="N18" i="4" s="1"/>
  <c r="P18" i="4"/>
  <c r="O13" i="4"/>
  <c r="R13" i="4"/>
  <c r="P13" i="4"/>
  <c r="M13" i="4"/>
  <c r="N13" i="4" s="1"/>
  <c r="R17" i="4"/>
  <c r="P17" i="4"/>
  <c r="M17" i="4"/>
  <c r="N17" i="4" s="1"/>
  <c r="O17" i="4"/>
  <c r="R21" i="4"/>
  <c r="M21" i="4"/>
  <c r="N21" i="4" s="1"/>
  <c r="O21" i="4"/>
  <c r="P21" i="4"/>
  <c r="M11" i="4"/>
  <c r="N11" i="4" s="1"/>
  <c r="R11" i="4"/>
  <c r="P11" i="4"/>
  <c r="O11" i="4"/>
  <c r="R7" i="4"/>
  <c r="M7" i="4"/>
  <c r="N7" i="4" s="1"/>
  <c r="O7" i="4"/>
  <c r="L10" i="4"/>
  <c r="L6" i="4" s="1"/>
  <c r="O12" i="4"/>
  <c r="R12" i="4"/>
  <c r="P12" i="4"/>
  <c r="M12" i="4"/>
  <c r="N12" i="4" s="1"/>
  <c r="S9" i="4"/>
  <c r="L7" i="5"/>
  <c r="M7" i="5" s="1"/>
  <c r="S8" i="4"/>
  <c r="L6" i="5"/>
  <c r="M6" i="5" s="1"/>
  <c r="L13" i="5"/>
  <c r="M13" i="5" s="1"/>
  <c r="L12" i="5"/>
  <c r="M12" i="5" s="1"/>
  <c r="S14" i="4"/>
  <c r="K4" i="5"/>
  <c r="J4" i="5"/>
  <c r="S17" i="4" l="1"/>
  <c r="S18" i="4"/>
  <c r="S20" i="4"/>
  <c r="S13" i="4"/>
  <c r="L19" i="5"/>
  <c r="M19" i="5" s="1"/>
  <c r="M10" i="4"/>
  <c r="M6" i="4" s="1"/>
  <c r="Q6" i="4"/>
  <c r="R10" i="4"/>
  <c r="R6" i="4" s="1"/>
  <c r="P10" i="4"/>
  <c r="P6" i="4" s="1"/>
  <c r="O10" i="4"/>
  <c r="O6" i="4" s="1"/>
  <c r="L10" i="5"/>
  <c r="M10" i="5" s="1"/>
  <c r="L15" i="5"/>
  <c r="M15" i="5" s="1"/>
  <c r="L18" i="5"/>
  <c r="M18" i="5" s="1"/>
  <c r="L16" i="5"/>
  <c r="M16" i="5" s="1"/>
  <c r="L11" i="5"/>
  <c r="M11" i="5" s="1"/>
  <c r="L9" i="5"/>
  <c r="M9" i="5" s="1"/>
  <c r="M17" i="5"/>
  <c r="S21" i="4"/>
  <c r="S11" i="4"/>
  <c r="S12" i="4"/>
  <c r="N10" i="4" l="1"/>
  <c r="S7" i="4"/>
  <c r="L5" i="5"/>
  <c r="N6" i="4" l="1"/>
  <c r="L8" i="5"/>
  <c r="M8" i="5" s="1"/>
  <c r="S10" i="4"/>
  <c r="S6" i="4" s="1"/>
  <c r="M5" i="5"/>
  <c r="D19" i="5"/>
  <c r="D5" i="5"/>
  <c r="M4" i="5" l="1"/>
  <c r="L4" i="5"/>
</calcChain>
</file>

<file path=xl/sharedStrings.xml><?xml version="1.0" encoding="utf-8"?>
<sst xmlns="http://schemas.openxmlformats.org/spreadsheetml/2006/main" count="390" uniqueCount="281">
  <si>
    <t>기관홍보용 달력제작 2,215*200부=443,000
기관홍보용 선물제작 5,000*150개=600,000
기타 운영경비                  448,000
계                           1,491,000</t>
  </si>
  <si>
    <t>학습재료 등 31,809*35명= 1,113,315</t>
  </si>
  <si>
    <t>행동개선프로그램    30,000*10명=  300,000
치료프로그램         70,000*5명=  350,000
기타정서지원프로그램 71,600원*10명=716,000 
계                              1,366,000</t>
  </si>
  <si>
    <t>장기
요양보험
(10.25%)</t>
  </si>
  <si>
    <t>개인결연(개인후원,어린이재단,디딤씨앗)
아동연합회 경유 지정후원금
지역사회 지정후원금</t>
  </si>
  <si>
    <t>치료기관 직접 지원으로 사업내용변경
진단검사비 300,000*2명 = 600,000
계                      600,000</t>
  </si>
  <si>
    <t>학용품비</t>
  </si>
  <si>
    <t>시설장비유지비</t>
  </si>
  <si>
    <t>기타잡수입</t>
  </si>
  <si>
    <t>(단위:천원)</t>
  </si>
  <si>
    <t>교 통 비</t>
  </si>
  <si>
    <t>여    비</t>
  </si>
  <si>
    <t>과     목</t>
  </si>
  <si>
    <t>자산취득비</t>
  </si>
  <si>
    <t>기관운영비</t>
  </si>
  <si>
    <t>차 량 비</t>
  </si>
  <si>
    <t>지정후원금</t>
  </si>
  <si>
    <t>연 료 비</t>
  </si>
  <si>
    <t>합    계</t>
  </si>
  <si>
    <t>법인전입금</t>
  </si>
  <si>
    <t>비지정후원금</t>
  </si>
  <si>
    <t>급    여</t>
  </si>
  <si>
    <t>전년도이월금</t>
  </si>
  <si>
    <t>공공요금</t>
  </si>
  <si>
    <t xml:space="preserve">잡지출 </t>
  </si>
  <si>
    <t>기타후생경비</t>
  </si>
  <si>
    <t>산 출 기 초</t>
  </si>
  <si>
    <t>수학여행비</t>
  </si>
  <si>
    <t>제세공과금</t>
  </si>
  <si>
    <t>시도보조금</t>
  </si>
  <si>
    <t>기타운영비</t>
  </si>
  <si>
    <t>치료재활사업비</t>
  </si>
  <si>
    <t>업무추진비</t>
  </si>
  <si>
    <t>예상
인원</t>
  </si>
  <si>
    <t>환경개선비</t>
  </si>
  <si>
    <t>이미용비</t>
  </si>
  <si>
    <t>하계수련비</t>
  </si>
  <si>
    <t>국고보조금</t>
  </si>
  <si>
    <t>생활지도원6</t>
  </si>
  <si>
    <t>후원금수입</t>
  </si>
  <si>
    <t>표준보수액</t>
  </si>
  <si>
    <t>교 복 비</t>
  </si>
  <si>
    <t>의 료 비</t>
  </si>
  <si>
    <t>피 복 비</t>
  </si>
  <si>
    <t>기타보조금</t>
  </si>
  <si>
    <t>생활지도원2</t>
  </si>
  <si>
    <t>제 수 당</t>
  </si>
  <si>
    <t>회 의 비</t>
  </si>
  <si>
    <t>(단위:원)</t>
  </si>
  <si>
    <t>재산조성비</t>
  </si>
  <si>
    <t>차감지급액</t>
  </si>
  <si>
    <t>자립전담요원</t>
  </si>
  <si>
    <t>세 출 부</t>
  </si>
  <si>
    <t>보조금수입</t>
  </si>
  <si>
    <t>시간외수당</t>
  </si>
  <si>
    <t>기타교육비</t>
  </si>
  <si>
    <t>행사지원비</t>
  </si>
  <si>
    <t>생활지도원4</t>
  </si>
  <si>
    <t>학습지원비</t>
  </si>
  <si>
    <t>세 입 부</t>
  </si>
  <si>
    <t>생활지도원</t>
  </si>
  <si>
    <t>명절휴가비</t>
  </si>
  <si>
    <t>지급기준</t>
  </si>
  <si>
    <t>산출내역</t>
  </si>
  <si>
    <t>지급회수</t>
  </si>
  <si>
    <t>생활지도원11</t>
  </si>
  <si>
    <t>생활지도원5</t>
  </si>
  <si>
    <t>생활지도원3</t>
  </si>
  <si>
    <t>예 산 액</t>
  </si>
  <si>
    <t>안전관리비</t>
  </si>
  <si>
    <t>월동대책비</t>
  </si>
  <si>
    <t>명절위로비</t>
  </si>
  <si>
    <t>원  장</t>
  </si>
  <si>
    <t>종사자급식비</t>
  </si>
  <si>
    <t>취사연료비</t>
  </si>
  <si>
    <t xml:space="preserve">도서구입비
</t>
  </si>
  <si>
    <t>각종비품구입</t>
  </si>
  <si>
    <t>가족수당</t>
  </si>
  <si>
    <t>기본급계</t>
  </si>
  <si>
    <t>합  계</t>
  </si>
  <si>
    <t>주부식비</t>
  </si>
  <si>
    <t>제수당계</t>
  </si>
  <si>
    <t>성 애 원</t>
  </si>
  <si>
    <t>생활지도원1</t>
  </si>
  <si>
    <t>생활지도원9</t>
  </si>
  <si>
    <t>생활지도원8</t>
  </si>
  <si>
    <t>기본운영비</t>
  </si>
  <si>
    <t>생활지도원10</t>
  </si>
  <si>
    <t>(단위 : 천원)</t>
  </si>
  <si>
    <t>30,000/년1인당</t>
  </si>
  <si>
    <t>산재보험
(0.9%)</t>
  </si>
  <si>
    <t>종사자복지포인트</t>
  </si>
  <si>
    <t>국민연금
(4.5%)</t>
  </si>
  <si>
    <t>교육청 전액 지원</t>
  </si>
  <si>
    <t>중등학생부교재비 25명*50,000*년1회 1,250,000
초등부교재비      4명*50,000*년1회   200,000
기타도서구입비   100,000*4분기=      400,000
계                                1,850,000</t>
  </si>
  <si>
    <t>산  출  기  초</t>
  </si>
  <si>
    <t>사회보험
부담비용</t>
  </si>
  <si>
    <t>수용비및
수수료</t>
  </si>
  <si>
    <t>아동개인결연
프로그램</t>
  </si>
  <si>
    <t>3,252,000/4년마다</t>
  </si>
  <si>
    <t>교육청, 해당 학교에서 지원</t>
  </si>
  <si>
    <t>4년 마다 환경개선비 지급</t>
  </si>
  <si>
    <t>2,000,000/년1회</t>
  </si>
  <si>
    <t>1,600/일1인당,240일</t>
  </si>
  <si>
    <t>퇴직적립금
(A/12)</t>
  </si>
  <si>
    <t>바우처
프로그램</t>
  </si>
  <si>
    <t>춘계부식비/월동김장비</t>
  </si>
  <si>
    <t>기타예금
이자수입</t>
  </si>
  <si>
    <t>특별위로비(설,추석)</t>
  </si>
  <si>
    <t>의무교육
프로그램</t>
  </si>
  <si>
    <t>프로그램
사업비</t>
  </si>
  <si>
    <t>비         교</t>
  </si>
  <si>
    <t>합      계</t>
  </si>
  <si>
    <t>법인전입금
(후원금)</t>
  </si>
  <si>
    <t>사 용 자 부 담</t>
  </si>
  <si>
    <t>정서지원
프로그램</t>
  </si>
  <si>
    <t>문화체험
사업비</t>
  </si>
  <si>
    <t>85,000/년1인당</t>
  </si>
  <si>
    <t>비        교</t>
  </si>
  <si>
    <t>퇴직금및
퇴직적립금</t>
  </si>
  <si>
    <t>예체능
프로그램</t>
  </si>
  <si>
    <t>생 계 비
-생계비
-춘계부식/김장비
-월동대책비
-특별위로비</t>
  </si>
  <si>
    <t>감</t>
  </si>
  <si>
    <t>교통비</t>
  </si>
  <si>
    <t>운영비</t>
  </si>
  <si>
    <t>사업비</t>
  </si>
  <si>
    <t>기본급</t>
  </si>
  <si>
    <t>잡지출</t>
  </si>
  <si>
    <t>피복비</t>
  </si>
  <si>
    <t>잡수입</t>
  </si>
  <si>
    <t>목</t>
  </si>
  <si>
    <t>교육비</t>
  </si>
  <si>
    <t>공제액</t>
  </si>
  <si>
    <t>사무비</t>
  </si>
  <si>
    <t>관</t>
  </si>
  <si>
    <t>예비비</t>
  </si>
  <si>
    <t>성명</t>
  </si>
  <si>
    <t>월</t>
  </si>
  <si>
    <t>예산액</t>
  </si>
  <si>
    <t>비 고</t>
  </si>
  <si>
    <t>현명길</t>
  </si>
  <si>
    <t>합 계</t>
  </si>
  <si>
    <t>조유미</t>
  </si>
  <si>
    <t>연1회</t>
  </si>
  <si>
    <t>최연아</t>
  </si>
  <si>
    <t>김도윤</t>
  </si>
  <si>
    <t>김문정</t>
  </si>
  <si>
    <t>정다솔</t>
  </si>
  <si>
    <t>소 계</t>
  </si>
  <si>
    <t xml:space="preserve"> </t>
  </si>
  <si>
    <t>기준액</t>
  </si>
  <si>
    <t>NO</t>
  </si>
  <si>
    <t>김희련</t>
  </si>
  <si>
    <t>김희현</t>
  </si>
  <si>
    <t>김소영</t>
  </si>
  <si>
    <t>직책</t>
  </si>
  <si>
    <t>손소영</t>
  </si>
  <si>
    <t>조리원</t>
  </si>
  <si>
    <t>강명수</t>
  </si>
  <si>
    <t>28명</t>
  </si>
  <si>
    <t>급여계</t>
  </si>
  <si>
    <t>호봉</t>
  </si>
  <si>
    <t>전입금</t>
  </si>
  <si>
    <t>계</t>
  </si>
  <si>
    <t xml:space="preserve">항 </t>
  </si>
  <si>
    <t>시간</t>
  </si>
  <si>
    <t>성애원</t>
  </si>
  <si>
    <t>시설비</t>
  </si>
  <si>
    <t>합계</t>
  </si>
  <si>
    <t>소계</t>
  </si>
  <si>
    <t>총급여</t>
  </si>
  <si>
    <t>증</t>
  </si>
  <si>
    <t>인건비</t>
  </si>
  <si>
    <t>사무원</t>
  </si>
  <si>
    <t>지원금</t>
  </si>
  <si>
    <t>이월금</t>
  </si>
  <si>
    <t>구 분</t>
  </si>
  <si>
    <t>주부식비통합
-피복비
-취사연료 포함</t>
  </si>
  <si>
    <t>예체능  95,083*12월= 1,141,000</t>
  </si>
  <si>
    <t>교통안전,재난대비,약물오남용
실종예방,성폭력예방</t>
  </si>
  <si>
    <t>김상철</t>
    <phoneticPr fontId="19" type="noConversion"/>
  </si>
  <si>
    <t>정정덕</t>
    <phoneticPr fontId="19" type="noConversion"/>
  </si>
  <si>
    <t>한민정</t>
    <phoneticPr fontId="19" type="noConversion"/>
  </si>
  <si>
    <t>월</t>
    <phoneticPr fontId="19" type="noConversion"/>
  </si>
  <si>
    <t>년</t>
    <phoneticPr fontId="19" type="noConversion"/>
  </si>
  <si>
    <t>한민정</t>
    <phoneticPr fontId="19" type="noConversion"/>
  </si>
  <si>
    <t>운영비</t>
    <phoneticPr fontId="19" type="noConversion"/>
  </si>
  <si>
    <t xml:space="preserve">학용품구입 3,000*28명*12월= 1,008,000                      </t>
    <phoneticPr fontId="19" type="noConversion"/>
  </si>
  <si>
    <t>차량유류대     500000*12월= 6,000,000
차량정비유지비 400,000*12월= 3,432,000
차량소모품비   400,000*12월= 3,428,000
계                         12,860,000</t>
    <phoneticPr fontId="19" type="noConversion"/>
  </si>
  <si>
    <t xml:space="preserve">직원교육비  20,000*14명=280,000
직원출장비 100,000* 2명=200,000
시설장 세미나비          910,000
사무국장 세미나비        400,000
계                    1,790,000 </t>
    <phoneticPr fontId="19" type="noConversion"/>
  </si>
  <si>
    <t>종사자복지포인트</t>
    <phoneticPr fontId="19" type="noConversion"/>
  </si>
  <si>
    <t>시설비 (건물유지보수)</t>
    <phoneticPr fontId="19" type="noConversion"/>
  </si>
  <si>
    <t xml:space="preserve">후원자 감사패     66,000원*2개=    132,000
후원자 감사선물  500,000원*2회=  1,000,000
기타 기관운영비                  1,683,000
  계                            2,815,000              </t>
    <phoneticPr fontId="19" type="noConversion"/>
  </si>
  <si>
    <t>전화요금          150,000*12월=   1,800,000
전기요금          768,666*12월=   9,224,000
상하수도요금      500,000*12월=   6,415,660
인터넷및키폰요금  150,000*12월=   1,800,000
TV사용료           50,000*12월=    600,000
우편요금          30,000*12월=     360,000
쓰레기봉투구입    100,000*12월=  1,200,000
납부필증          100,000*12월=  1,200,000
계                              22,599,660</t>
    <phoneticPr fontId="19" type="noConversion"/>
  </si>
  <si>
    <t>2025년 종사자 인건비 산출내역</t>
    <phoneticPr fontId="19" type="noConversion"/>
  </si>
  <si>
    <t>2025년 종사자 사회보험 산출내역</t>
    <phoneticPr fontId="19" type="noConversion"/>
  </si>
  <si>
    <t>2025년 임직원 보수일람표</t>
    <phoneticPr fontId="19" type="noConversion"/>
  </si>
  <si>
    <t xml:space="preserve">2025년 성애원(시설) 경상보조금 생계비(국시비) 산출내역 </t>
    <phoneticPr fontId="19" type="noConversion"/>
  </si>
  <si>
    <t>2025년 성애원(시설) 경상보조금 관리운영비 산출내역(국시비)</t>
    <phoneticPr fontId="19" type="noConversion"/>
  </si>
  <si>
    <t>이지환</t>
    <phoneticPr fontId="19" type="noConversion"/>
  </si>
  <si>
    <t>생활지도원7</t>
  </si>
  <si>
    <t>고용보험
(1.15%)</t>
    <phoneticPr fontId="19" type="noConversion"/>
  </si>
  <si>
    <t>구청에서 아동계좌로 직접 입금 됨</t>
    <phoneticPr fontId="19" type="noConversion"/>
  </si>
  <si>
    <t>아동이미용비      월300,000*12월=2,100,000
아동목욕비      16명*7,000*12월= 1,400,000
계                              3,500,000</t>
    <phoneticPr fontId="19" type="noConversion"/>
  </si>
  <si>
    <t>예 산 액</t>
    <phoneticPr fontId="19" type="noConversion"/>
  </si>
  <si>
    <t xml:space="preserve"> 본예산</t>
    <phoneticPr fontId="19" type="noConversion"/>
  </si>
  <si>
    <t>1차추경</t>
    <phoneticPr fontId="19" type="noConversion"/>
  </si>
  <si>
    <r>
      <t xml:space="preserve">비지정후원금 111,675,110
지정후원금     1,038,124
</t>
    </r>
    <r>
      <rPr>
        <b/>
        <sz val="10"/>
        <color rgb="FF0000FF"/>
        <rFont val="굴림체"/>
        <family val="3"/>
        <charset val="129"/>
      </rPr>
      <t>계 112,713,234원</t>
    </r>
    <phoneticPr fontId="19" type="noConversion"/>
  </si>
  <si>
    <t xml:space="preserve">실습생 급식비 3명*30,000*2회=180,000
기간제 급식비                270,000
계 450,000원                     </t>
    <phoneticPr fontId="19" type="noConversion"/>
  </si>
  <si>
    <t>건강보험
(4%)</t>
    <phoneticPr fontId="19" type="noConversion"/>
  </si>
  <si>
    <t>* 2025년도 기초생활보장 지침 중 시설생계급여 등 지원기준</t>
    <phoneticPr fontId="19" type="noConversion"/>
  </si>
  <si>
    <t>158,000/월</t>
    <phoneticPr fontId="19" type="noConversion"/>
  </si>
  <si>
    <t>28명*158,000원*12월=47,900,160</t>
    <phoneticPr fontId="19" type="noConversion"/>
  </si>
  <si>
    <t>28명</t>
    <phoneticPr fontId="19" type="noConversion"/>
  </si>
  <si>
    <t>720,000/월</t>
    <phoneticPr fontId="19" type="noConversion"/>
  </si>
  <si>
    <t>720,000원*12월=8,640,000</t>
    <phoneticPr fontId="19" type="noConversion"/>
  </si>
  <si>
    <r>
      <rPr>
        <sz val="10"/>
        <color rgb="FFFF0000"/>
        <rFont val="바탕체"/>
        <family val="1"/>
        <charset val="129"/>
      </rPr>
      <t>14,270</t>
    </r>
    <r>
      <rPr>
        <sz val="10"/>
        <color rgb="FF000000"/>
        <rFont val="바탕체"/>
        <family val="1"/>
        <charset val="129"/>
      </rPr>
      <t>/년1인당</t>
    </r>
    <phoneticPr fontId="19" type="noConversion"/>
  </si>
  <si>
    <t>28명*14,270원*년1회=399,560</t>
    <phoneticPr fontId="19" type="noConversion"/>
  </si>
  <si>
    <t>소 계</t>
    <phoneticPr fontId="19" type="noConversion"/>
  </si>
  <si>
    <t>2025년 성애원(시설) 관리운영비 산출내역(시비)</t>
    <phoneticPr fontId="19" type="noConversion"/>
  </si>
  <si>
    <t>아동용돈</t>
    <phoneticPr fontId="19" type="noConversion"/>
  </si>
  <si>
    <r>
      <rPr>
        <b/>
        <sz val="10"/>
        <color rgb="FFFF0000"/>
        <rFont val="바탕체"/>
        <family val="1"/>
        <charset val="129"/>
      </rPr>
      <t>대학,연장 50,000/월1인당</t>
    </r>
    <r>
      <rPr>
        <sz val="10"/>
        <color rgb="FF000000"/>
        <rFont val="바탕체"/>
        <family val="1"/>
        <charset val="129"/>
      </rPr>
      <t xml:space="preserve">
</t>
    </r>
    <r>
      <rPr>
        <sz val="10"/>
        <color rgb="FFFF0000"/>
        <rFont val="바탕체"/>
        <family val="1"/>
        <charset val="129"/>
      </rPr>
      <t>고 45,000/월1인당</t>
    </r>
    <r>
      <rPr>
        <sz val="10"/>
        <color rgb="FF000000"/>
        <rFont val="바탕체"/>
        <family val="1"/>
        <charset val="129"/>
      </rPr>
      <t xml:space="preserve">
</t>
    </r>
    <r>
      <rPr>
        <sz val="10"/>
        <color rgb="FFFF0000"/>
        <rFont val="바탕체"/>
        <family val="1"/>
        <charset val="129"/>
      </rPr>
      <t>중 32,000/월1인당</t>
    </r>
    <r>
      <rPr>
        <sz val="10"/>
        <color rgb="FF000000"/>
        <rFont val="바탕체"/>
        <family val="1"/>
        <charset val="129"/>
      </rPr>
      <t xml:space="preserve">
</t>
    </r>
    <r>
      <rPr>
        <sz val="10"/>
        <color rgb="FFFF0000"/>
        <rFont val="바탕체"/>
        <family val="1"/>
        <charset val="129"/>
      </rPr>
      <t>초 24,000/월1인당</t>
    </r>
    <phoneticPr fontId="19" type="noConversion"/>
  </si>
  <si>
    <t>3세이상 9명*30,000원*년1회=270,000</t>
    <phoneticPr fontId="19" type="noConversion"/>
  </si>
  <si>
    <t>9명</t>
    <phoneticPr fontId="19" type="noConversion"/>
  </si>
  <si>
    <t>12명</t>
    <phoneticPr fontId="19" type="noConversion"/>
  </si>
  <si>
    <t>학습보조비</t>
    <phoneticPr fontId="19" type="noConversion"/>
  </si>
  <si>
    <t>고 120,000/년1인당
 중 100,000/년1인당
 초  80,000/년1인당</t>
    <phoneticPr fontId="19" type="noConversion"/>
  </si>
  <si>
    <t>고  4명*120,000원*년1회=480,000
중  3명*100,000원*년1회=300,000
초  2명 *80,000원*년1회=160,000
계 940,000원</t>
    <phoneticPr fontId="19" type="noConversion"/>
  </si>
  <si>
    <t>연 찬 회 : 500,000
사생대회 :  70,000
자립체험 : 440,000  
계 1,010,000</t>
    <phoneticPr fontId="19" type="noConversion"/>
  </si>
  <si>
    <t>영아위생대</t>
    <phoneticPr fontId="19" type="noConversion"/>
  </si>
  <si>
    <t>3세미만 23,000원</t>
    <phoneticPr fontId="19" type="noConversion"/>
  </si>
  <si>
    <t>23,000원*6월</t>
    <phoneticPr fontId="19" type="noConversion"/>
  </si>
  <si>
    <t>난방비</t>
    <phoneticPr fontId="19" type="noConversion"/>
  </si>
  <si>
    <t>1월,2월 300,000원씩 한시적</t>
    <phoneticPr fontId="19" type="noConversion"/>
  </si>
  <si>
    <t>300,000원*2월=600,000</t>
    <phoneticPr fontId="19" type="noConversion"/>
  </si>
  <si>
    <t>120,000/년1회</t>
    <phoneticPr fontId="19" type="noConversion"/>
  </si>
  <si>
    <t>15명*120,000원</t>
    <phoneticPr fontId="19" type="noConversion"/>
  </si>
  <si>
    <t>15명</t>
    <phoneticPr fontId="19" type="noConversion"/>
  </si>
  <si>
    <t>주250,000원</t>
    <phoneticPr fontId="19" type="noConversion"/>
  </si>
  <si>
    <t>신생아 2명*250,000원*12주</t>
    <phoneticPr fontId="19" type="noConversion"/>
  </si>
  <si>
    <t>25년신설</t>
    <phoneticPr fontId="19" type="noConversion"/>
  </si>
  <si>
    <t>본예산</t>
    <phoneticPr fontId="19" type="noConversion"/>
  </si>
  <si>
    <t>기본급     583,104,000</t>
    <phoneticPr fontId="19" type="noConversion"/>
  </si>
  <si>
    <t>명절휴가비  58,310,400
시간외수당  96,218,680
가족수당     9,760,000
계         164,289,080</t>
    <phoneticPr fontId="19" type="noConversion"/>
  </si>
  <si>
    <t>퇴직금및퇴직적립금 62,282,820</t>
    <phoneticPr fontId="19" type="noConversion"/>
  </si>
  <si>
    <t>국민건강보험 29,895,800
장기요양보험  3,832,710
국민연금보험 33,632,750
산재보험      6,756,000
고용보험      7,836,790
계          81,954,050</t>
    <phoneticPr fontId="19" type="noConversion"/>
  </si>
  <si>
    <r>
      <rPr>
        <b/>
        <sz val="9"/>
        <color rgb="FF0000FF"/>
        <rFont val="굴림체"/>
        <family val="3"/>
        <charset val="129"/>
      </rPr>
      <t>중,고등학생 2,400*240일    3,936,000</t>
    </r>
    <r>
      <rPr>
        <b/>
        <sz val="9"/>
        <color theme="1"/>
        <rFont val="굴림체"/>
        <family val="3"/>
        <charset val="129"/>
      </rPr>
      <t xml:space="preserve">
아동교통비                 5,680,000
계                         </t>
    </r>
    <r>
      <rPr>
        <b/>
        <sz val="9"/>
        <color rgb="FF0000FF"/>
        <rFont val="굴림체"/>
        <family val="3"/>
        <charset val="129"/>
      </rPr>
      <t>9,616,000</t>
    </r>
    <phoneticPr fontId="19" type="noConversion"/>
  </si>
  <si>
    <t>개인결연금 26명 67,510,000</t>
    <phoneticPr fontId="19" type="noConversion"/>
  </si>
  <si>
    <r>
      <rPr>
        <b/>
        <sz val="9"/>
        <color rgb="FF0000FF"/>
        <rFont val="굴림체"/>
        <family val="3"/>
        <charset val="129"/>
      </rPr>
      <t>연합회행사지원비                  1,010,000</t>
    </r>
    <r>
      <rPr>
        <b/>
        <sz val="9"/>
        <color theme="1"/>
        <rFont val="굴림체"/>
        <family val="3"/>
        <charset val="129"/>
      </rPr>
      <t xml:space="preserve">
어린이날행사비      30명*10,000원=  300,000
성탄파티           30명*10,000원=   300,000
수련활동비         30명*50,000원= 1,500,000
</t>
    </r>
    <r>
      <rPr>
        <b/>
        <sz val="9"/>
        <color rgb="FF0000FF"/>
        <rFont val="굴림체"/>
        <family val="3"/>
        <charset val="129"/>
      </rPr>
      <t xml:space="preserve">계                               3,110,000 </t>
    </r>
    <phoneticPr fontId="19" type="noConversion"/>
  </si>
  <si>
    <t>1차추경</t>
    <phoneticPr fontId="19" type="noConversion"/>
  </si>
  <si>
    <r>
      <t xml:space="preserve">종사자급식비(생활지도원)
11명*80,000원*12월=10,560,000
종사자급식비(사무실/주방)
</t>
    </r>
    <r>
      <rPr>
        <b/>
        <u/>
        <sz val="10"/>
        <rFont val="굴림체"/>
        <family val="3"/>
        <charset val="129"/>
      </rPr>
      <t xml:space="preserve">4명*80,000원*12월=3,840,000
</t>
    </r>
    <r>
      <rPr>
        <b/>
        <u/>
        <sz val="10"/>
        <color rgb="FF0000FF"/>
        <rFont val="굴림체"/>
        <family val="3"/>
        <charset val="129"/>
      </rPr>
      <t>계  14,400,000원</t>
    </r>
    <phoneticPr fontId="19" type="noConversion"/>
  </si>
  <si>
    <t>건물유지비용     500,000*12월=6,000,000
전기안전관리비   110,000*12월=1,320,000                 소방안전관리비   143,000*12월=1,716,000
승강기안전관리비  99,000*12월=1,188,000  
장비유지비용                  1,808,900
계                          12,032,900</t>
    <phoneticPr fontId="19" type="noConversion"/>
  </si>
  <si>
    <t>복지포인트 15명*120,000원=1,800,000</t>
    <phoneticPr fontId="19" type="noConversion"/>
  </si>
  <si>
    <t>후원자간담회비    30,000원</t>
    <phoneticPr fontId="19" type="noConversion"/>
  </si>
  <si>
    <r>
      <rPr>
        <b/>
        <sz val="10"/>
        <color rgb="FFFF0000"/>
        <rFont val="굴림체"/>
        <family val="3"/>
        <charset val="129"/>
      </rPr>
      <t>아동용돈         15,194,000</t>
    </r>
    <r>
      <rPr>
        <b/>
        <sz val="10"/>
        <color theme="1"/>
        <rFont val="굴림체"/>
        <family val="3"/>
        <charset val="129"/>
      </rPr>
      <t xml:space="preserve">
</t>
    </r>
    <r>
      <rPr>
        <b/>
        <sz val="10"/>
        <color rgb="FF0000FF"/>
        <rFont val="굴림체"/>
        <family val="3"/>
        <charset val="129"/>
      </rPr>
      <t>하계수련비          270,000</t>
    </r>
    <r>
      <rPr>
        <b/>
        <sz val="10"/>
        <color theme="1"/>
        <rFont val="굴림체"/>
        <family val="3"/>
        <charset val="129"/>
      </rPr>
      <t xml:space="preserve">
</t>
    </r>
    <r>
      <rPr>
        <b/>
        <sz val="10"/>
        <color rgb="FF0000FF"/>
        <rFont val="굴림체"/>
        <family val="3"/>
        <charset val="129"/>
      </rPr>
      <t>교통비            3,936,000
학습보조비          940,000</t>
    </r>
    <r>
      <rPr>
        <b/>
        <sz val="10"/>
        <color theme="1"/>
        <rFont val="굴림체"/>
        <family val="3"/>
        <charset val="129"/>
      </rPr>
      <t xml:space="preserve">
안전관리비        2,000,000
춘계/월동김장비     399,560
</t>
    </r>
    <r>
      <rPr>
        <b/>
        <sz val="10"/>
        <color rgb="FF0000FF"/>
        <rFont val="굴림체"/>
        <family val="3"/>
        <charset val="129"/>
      </rPr>
      <t>행사지원비        1,010,000</t>
    </r>
    <r>
      <rPr>
        <b/>
        <sz val="10"/>
        <color theme="1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 xml:space="preserve">종사자복지포인트   1,800,000
난방비              600,000
영아위생대          138,000
긴급보호비        6,000,000  </t>
    </r>
    <r>
      <rPr>
        <b/>
        <sz val="10"/>
        <color theme="1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계              32,287,560</t>
    </r>
    <phoneticPr fontId="19" type="noConversion"/>
  </si>
  <si>
    <t>수용기관경비
-수용기관경비
-아동용돈
-하계수련비
-긴급보호비</t>
    <phoneticPr fontId="19" type="noConversion"/>
  </si>
  <si>
    <t>긴급보호비(서구청)</t>
    <phoneticPr fontId="19" type="noConversion"/>
  </si>
  <si>
    <t>292,940*28명*12월=87,882,000
장기입원자차감액250,000*2명*12월</t>
    <phoneticPr fontId="19" type="noConversion"/>
  </si>
  <si>
    <t>60,268*28명*12월=18,080,480</t>
    <phoneticPr fontId="19" type="noConversion"/>
  </si>
  <si>
    <t>3,360*28명*12월=1,008,000</t>
    <phoneticPr fontId="19" type="noConversion"/>
  </si>
  <si>
    <t>소방,전기,승강기 안전점검비</t>
    <phoneticPr fontId="19" type="noConversion"/>
  </si>
  <si>
    <r>
      <rPr>
        <b/>
        <sz val="10"/>
        <color rgb="FFFF0000"/>
        <rFont val="굴림체"/>
        <family val="3"/>
        <charset val="129"/>
      </rPr>
      <t>생계비              114,926,928</t>
    </r>
    <r>
      <rPr>
        <b/>
        <sz val="10"/>
        <color theme="1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인건비              891,629,950</t>
    </r>
    <r>
      <rPr>
        <b/>
        <sz val="10"/>
        <color theme="1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운영비               53,088,000
기본 운영비           8,640,000</t>
    </r>
    <r>
      <rPr>
        <b/>
        <sz val="10"/>
        <color theme="1"/>
        <rFont val="굴림체"/>
        <family val="3"/>
        <charset val="129"/>
      </rPr>
      <t xml:space="preserve">
</t>
    </r>
    <r>
      <rPr>
        <b/>
        <sz val="10"/>
        <color rgb="FFFF0000"/>
        <rFont val="굴림체"/>
        <family val="3"/>
        <charset val="129"/>
      </rPr>
      <t>계                1,068,284,878</t>
    </r>
    <phoneticPr fontId="19" type="noConversion"/>
  </si>
  <si>
    <t>40,000원*28명*1회=1,120,000</t>
    <phoneticPr fontId="19" type="noConversion"/>
  </si>
  <si>
    <r>
      <t xml:space="preserve">피복비 60,268*28명*12월 =  </t>
    </r>
    <r>
      <rPr>
        <b/>
        <sz val="9"/>
        <color rgb="FFFF0000"/>
        <rFont val="굴림체"/>
        <family val="3"/>
        <charset val="129"/>
      </rPr>
      <t>20,250,130</t>
    </r>
    <r>
      <rPr>
        <b/>
        <sz val="9"/>
        <color theme="1"/>
        <rFont val="굴림체"/>
        <family val="3"/>
        <charset val="129"/>
      </rPr>
      <t xml:space="preserve">
후원금 29,223*30명*12월 =   2,020,280
계                       </t>
    </r>
    <r>
      <rPr>
        <b/>
        <sz val="9"/>
        <color rgb="FFFF0000"/>
        <rFont val="굴림체"/>
        <family val="3"/>
        <charset val="129"/>
      </rPr>
      <t xml:space="preserve">  22,270,410</t>
    </r>
    <phoneticPr fontId="19" type="noConversion"/>
  </si>
  <si>
    <r>
      <t>교복비 300,000*</t>
    </r>
    <r>
      <rPr>
        <b/>
        <sz val="9"/>
        <color rgb="FF0000FF"/>
        <rFont val="굴림체"/>
        <family val="3"/>
        <charset val="129"/>
      </rPr>
      <t>5명*2회= 3,000,000</t>
    </r>
    <phoneticPr fontId="19" type="noConversion"/>
  </si>
  <si>
    <t>바우처지원비 월50,000*12월=600,000</t>
    <phoneticPr fontId="19" type="noConversion"/>
  </si>
  <si>
    <r>
      <t xml:space="preserve">학습보조비 
   </t>
    </r>
    <r>
      <rPr>
        <b/>
        <sz val="9"/>
        <color rgb="FF0000FF"/>
        <rFont val="굴림체"/>
        <family val="3"/>
        <charset val="129"/>
      </rPr>
      <t>고4명*120,000*년1회 480,000</t>
    </r>
    <r>
      <rPr>
        <b/>
        <sz val="9"/>
        <color theme="1"/>
        <rFont val="굴림체"/>
        <family val="3"/>
        <charset val="129"/>
      </rPr>
      <t xml:space="preserve">
   중3명*100,000*년1회 300,000
   초2명*80,000*년1회  160,000
 학원비              8,000,000
</t>
    </r>
    <r>
      <rPr>
        <b/>
        <sz val="9"/>
        <color rgb="FF0000FF"/>
        <rFont val="굴림체"/>
        <family val="3"/>
        <charset val="129"/>
      </rPr>
      <t>계                   8,940,000</t>
    </r>
    <phoneticPr fontId="19" type="noConversion"/>
  </si>
  <si>
    <r>
      <t xml:space="preserve">아동 28명*6,000*12월= 2,016,000
생일파티 28명*55,000= 1,540,000
인솔자프로그램사업비 17,000*4*6=408,000
</t>
    </r>
    <r>
      <rPr>
        <b/>
        <sz val="9"/>
        <color rgb="FF0000FF"/>
        <rFont val="굴림체"/>
        <family val="3"/>
        <charset val="129"/>
      </rPr>
      <t>계                          3,964,000</t>
    </r>
    <phoneticPr fontId="19" type="noConversion"/>
  </si>
  <si>
    <t>문화체험비 28명*14,000*12월=4,704,000</t>
    <phoneticPr fontId="19" type="noConversion"/>
  </si>
  <si>
    <t>11명*48,000원* 2월=1,056,000(1월~2월)
 6명*48,000원*10월=2,880,000(3월~12월)
계 3,936,000</t>
    <phoneticPr fontId="19" type="noConversion"/>
  </si>
  <si>
    <t>대학,연장 11명*50,000원* 2월=1,100,000(1월~2월)
대학,연장 18명*50,000원*10월=9,000,000(3월~12월)
고등학생  11명*45,000원 *2월=  990,000(1월~2월) 
고등학생   4명*45,000원*10월=1,800,000(3월~12월)
중학생     3명*32,000원*12월=1,152,000(1월~12월)
초등학생   2명*24,000원*12월=1,152,000(1월~12월)
계 15,194,000원</t>
    <phoneticPr fontId="19" type="noConversion"/>
  </si>
  <si>
    <t>고  4명
중  3명
초  2명</t>
    <phoneticPr fontId="19" type="noConversion"/>
  </si>
  <si>
    <t>본예산대비 3.63% 증가</t>
    <phoneticPr fontId="19" type="noConversion"/>
  </si>
  <si>
    <r>
      <t xml:space="preserve">신원보증보험        15,000*2명= 30,000
상해보험(아동+종사자+여행자)    400,000
화재보험                       500,000
자동차보험(스타렉스3164)        700,000
자동차보험(모닝9214)            600,000
자동차보험(스파크6742)          600,000
자동차보험(모닝9782)            600,000
영업배상책임보험                600,000
자동차세                       800,000
환경개선부담금                  400,000
아동연합회비960,000*4분기     3,840,000
계                          </t>
    </r>
    <r>
      <rPr>
        <b/>
        <sz val="9"/>
        <color rgb="FF0000FF"/>
        <rFont val="굴림체"/>
        <family val="3"/>
        <charset val="129"/>
      </rPr>
      <t xml:space="preserve"> 9,070,000</t>
    </r>
    <phoneticPr fontId="19" type="noConversion"/>
  </si>
  <si>
    <r>
      <t xml:space="preserve">진료비 및 약제비     60,000*28명=1,680,000
약품구입            35,000*12월=  420,000
안경수선및제작비     50,000*20명=1,000,000
</t>
    </r>
    <r>
      <rPr>
        <b/>
        <sz val="9"/>
        <color rgb="FF0000FF"/>
        <rFont val="굴림체"/>
        <family val="3"/>
        <charset val="129"/>
      </rPr>
      <t>치아교정비                      2,700,000</t>
    </r>
    <r>
      <rPr>
        <b/>
        <sz val="9"/>
        <color theme="1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>계                              5,800,000</t>
    </r>
    <phoneticPr fontId="19" type="noConversion"/>
  </si>
  <si>
    <t xml:space="preserve">2025년도 성애원(시설) 1차 추경 세입·세출 예산(안) </t>
    <phoneticPr fontId="19" type="noConversion"/>
  </si>
  <si>
    <r>
      <t xml:space="preserve">명절선물구입 15명*10,000*2회=   300,000
직원워크샵   15명*15,000*1회=   225,000
공로패제작    2명*66,000    =   132,000
생일축하금   15명*30,000    =   450,000
포상선물비    2명*50,000    =   100,000
</t>
    </r>
    <r>
      <rPr>
        <b/>
        <sz val="9"/>
        <color rgb="FFFF0000"/>
        <rFont val="굴림체"/>
        <family val="3"/>
        <charset val="129"/>
      </rPr>
      <t>신생아돌봄포상3명*100,000*6회=1,800,000</t>
    </r>
    <r>
      <rPr>
        <b/>
        <sz val="9"/>
        <color theme="1"/>
        <rFont val="굴림체"/>
        <family val="3"/>
        <charset val="129"/>
      </rPr>
      <t xml:space="preserve">
계                          </t>
    </r>
    <r>
      <rPr>
        <b/>
        <sz val="9"/>
        <color rgb="FFFF0000"/>
        <rFont val="굴림체"/>
        <family val="3"/>
        <charset val="129"/>
      </rPr>
      <t xml:space="preserve"> 3,007,000</t>
    </r>
    <phoneticPr fontId="19" type="noConversion"/>
  </si>
  <si>
    <r>
      <t xml:space="preserve">아동급식비  292,940원*28명*12월-6,000,000(장기입원자 공제)               =  </t>
    </r>
    <r>
      <rPr>
        <b/>
        <sz val="9"/>
        <color rgb="FFFF0000"/>
        <rFont val="굴림체"/>
        <family val="3"/>
        <charset val="129"/>
      </rPr>
      <t>92,427,840</t>
    </r>
    <r>
      <rPr>
        <b/>
        <sz val="9"/>
        <color theme="1"/>
        <rFont val="굴림체"/>
        <family val="3"/>
        <charset val="129"/>
      </rPr>
      <t xml:space="preserve">
</t>
    </r>
    <r>
      <rPr>
        <b/>
        <sz val="9"/>
        <color rgb="FF0000FF"/>
        <rFont val="굴림체"/>
        <family val="3"/>
        <charset val="129"/>
      </rPr>
      <t xml:space="preserve">종사자급식비15명*80,000원*12월= 14,400,000
</t>
    </r>
    <r>
      <rPr>
        <b/>
        <sz val="9"/>
        <rFont val="굴림체"/>
        <family val="3"/>
        <charset val="129"/>
      </rPr>
      <t>실습생,기간제 식대                 175,000</t>
    </r>
    <r>
      <rPr>
        <b/>
        <sz val="9"/>
        <color theme="1"/>
        <rFont val="굴림체"/>
        <family val="3"/>
        <charset val="129"/>
      </rPr>
      <t xml:space="preserve">
춘계부식,김장비14,270원*28명*1회=  399,560
월동대책비      40,000*28명*1회= </t>
    </r>
    <r>
      <rPr>
        <b/>
        <sz val="9"/>
        <color rgb="FFFF0000"/>
        <rFont val="굴림체"/>
        <family val="3"/>
        <charset val="129"/>
      </rPr>
      <t>1,120,000</t>
    </r>
    <r>
      <rPr>
        <b/>
        <sz val="9"/>
        <color theme="1"/>
        <rFont val="굴림체"/>
        <family val="3"/>
        <charset val="129"/>
      </rPr>
      <t xml:space="preserve">
후원금                           6,175,000
계                            </t>
    </r>
    <r>
      <rPr>
        <b/>
        <sz val="9"/>
        <color rgb="FFFF0000"/>
        <rFont val="굴림체"/>
        <family val="3"/>
        <charset val="129"/>
      </rPr>
      <t xml:space="preserve"> 114,797,400</t>
    </r>
    <phoneticPr fontId="19" type="noConversion"/>
  </si>
  <si>
    <r>
      <t xml:space="preserve">아동필요용품      10,700*28명*12월=3,595,200
아동핸드폰요금  16,071원*28명*12월=5,400,000
</t>
    </r>
    <r>
      <rPr>
        <b/>
        <sz val="9"/>
        <color rgb="FFFF0000"/>
        <rFont val="굴림체"/>
        <family val="3"/>
        <charset val="129"/>
      </rPr>
      <t>아동용돈 27명기준                 15,194,000</t>
    </r>
    <r>
      <rPr>
        <b/>
        <sz val="9"/>
        <color theme="1"/>
        <rFont val="굴림체"/>
        <family val="3"/>
        <charset val="129"/>
      </rPr>
      <t xml:space="preserve">
아동용돈(후원금)146,000*28명*12월=49,056,000
</t>
    </r>
    <r>
      <rPr>
        <b/>
        <sz val="9"/>
        <color rgb="FF0000FF"/>
        <rFont val="굴림체"/>
        <family val="3"/>
        <charset val="129"/>
      </rPr>
      <t xml:space="preserve">수련활동비            30,000*9명=    270,000
</t>
    </r>
    <r>
      <rPr>
        <b/>
        <sz val="9"/>
        <color rgb="FFFF0000"/>
        <rFont val="굴림체"/>
        <family val="3"/>
        <charset val="129"/>
      </rPr>
      <t xml:space="preserve">영아위생대           23,000*6월=     138,000
긴급보호비신생아용품(보호출산)
                 2명*250,000*12주=6,000,000 
</t>
    </r>
    <r>
      <rPr>
        <b/>
        <sz val="9"/>
        <color theme="1"/>
        <rFont val="굴림체"/>
        <family val="3"/>
        <charset val="129"/>
      </rPr>
      <t xml:space="preserve">기타                              1,831,800
계                              </t>
    </r>
    <r>
      <rPr>
        <b/>
        <sz val="9"/>
        <color rgb="FFFF0000"/>
        <rFont val="굴림체"/>
        <family val="3"/>
        <charset val="129"/>
      </rPr>
      <t xml:space="preserve"> 81,485,000</t>
    </r>
    <phoneticPr fontId="19" type="noConversion"/>
  </si>
  <si>
    <r>
      <t xml:space="preserve">취사연료비   3,000*28명*12월= 1,008,000
종사자급식비 1,000*15명*12월=   180,000
심야전기     1,344,160*12월= 10,764,109
</t>
    </r>
    <r>
      <rPr>
        <b/>
        <sz val="9"/>
        <color rgb="FFFF0000"/>
        <rFont val="굴림체"/>
        <family val="3"/>
        <charset val="129"/>
      </rPr>
      <t>난방비         300,000* 2월=    600,000</t>
    </r>
    <r>
      <rPr>
        <b/>
        <sz val="9"/>
        <color theme="1"/>
        <rFont val="굴림체"/>
        <family val="3"/>
        <charset val="129"/>
      </rPr>
      <t xml:space="preserve">
계                          </t>
    </r>
    <r>
      <rPr>
        <b/>
        <sz val="9"/>
        <color rgb="FFFF0000"/>
        <rFont val="굴림체"/>
        <family val="3"/>
        <charset val="129"/>
      </rPr>
      <t>12,552,109</t>
    </r>
    <phoneticPr fontId="19" type="noConversion"/>
  </si>
  <si>
    <r>
      <t xml:space="preserve">사무용품비     250,000*12월= 3,000,000
인쇄비         200,000* 4월=   800,000
집기구입비     100,000* 6월=   600,000
공고료          50,000*12월=   600,000
수수료          50,000*12월=   600,000
등기료          50,000*12월=   600,000
운송비          50,000*12월=   600,000
통행료          50,000*12월=   600,000
주차료          50,000*12월=   600,000
A/S비           50,000*12월=   600,000
신문대금        30,000*12월=   360,000
사무기기임대료  297,000*12월= 3,564,000
정수기 렌탈료  200,000*12월=  2,400,000
퇴직연금수수료                1,200,000
기타                         7,715,000
</t>
    </r>
    <r>
      <rPr>
        <b/>
        <sz val="9"/>
        <color rgb="FFFF0000"/>
        <rFont val="굴림체"/>
        <family val="3"/>
        <charset val="129"/>
      </rPr>
      <t>계                          23,839,000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</si>
</sst>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4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b/>
      <sz val="11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b/>
      <sz val="14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0"/>
      <name val="바탕체"/>
      <family val="1"/>
      <charset val="129"/>
    </font>
    <font>
      <b/>
      <sz val="10"/>
      <name val="바탕체"/>
      <family val="1"/>
      <charset val="129"/>
    </font>
    <font>
      <b/>
      <sz val="10"/>
      <color theme="1"/>
      <name val="바탕체"/>
      <family val="1"/>
      <charset val="129"/>
    </font>
    <font>
      <sz val="9"/>
      <color theme="1"/>
      <name val="바탕체"/>
      <family val="1"/>
      <charset val="129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0"/>
      <color rgb="FF0000FF"/>
      <name val="바탕체"/>
      <family val="1"/>
      <charset val="129"/>
    </font>
    <font>
      <b/>
      <sz val="11"/>
      <color rgb="FFFF000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10"/>
      <color rgb="FF0000FF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FF"/>
      <name val="굴림체"/>
      <family val="3"/>
      <charset val="129"/>
    </font>
    <font>
      <b/>
      <u/>
      <sz val="10"/>
      <name val="굴림체"/>
      <family val="3"/>
      <charset val="129"/>
    </font>
    <font>
      <b/>
      <sz val="10"/>
      <color rgb="FFFF0000"/>
      <name val="바탕체"/>
      <family val="1"/>
      <charset val="129"/>
    </font>
    <font>
      <sz val="10"/>
      <color rgb="FFFF0000"/>
      <name val="바탕체"/>
      <family val="1"/>
      <charset val="129"/>
    </font>
    <font>
      <sz val="10"/>
      <color theme="1"/>
      <name val="바탕체"/>
      <family val="1"/>
      <charset val="129"/>
    </font>
    <font>
      <b/>
      <sz val="9"/>
      <color rgb="FFFF0000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u/>
      <sz val="10"/>
      <color rgb="FF0000FF"/>
      <name val="굴림체"/>
      <family val="3"/>
      <charset val="129"/>
    </font>
    <font>
      <b/>
      <sz val="9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8">
    <xf numFmtId="0" fontId="0" fillId="0" borderId="0">
      <alignment vertical="center"/>
    </xf>
    <xf numFmtId="9" fontId="18" fillId="0" borderId="0">
      <alignment vertical="center"/>
    </xf>
    <xf numFmtId="41" fontId="18" fillId="0" borderId="0">
      <alignment vertical="center"/>
    </xf>
    <xf numFmtId="41" fontId="3" fillId="0" borderId="0" xfId="0" applyNumberFormat="1" applyFont="1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41" fontId="2" fillId="0" borderId="0">
      <alignment vertical="center"/>
    </xf>
  </cellStyleXfs>
  <cellXfs count="30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2" applyNumberFormat="1" applyFont="1" applyBorder="1" applyAlignment="1" applyProtection="1">
      <alignment horizontal="center" vertical="center"/>
      <protection locked="0"/>
    </xf>
    <xf numFmtId="41" fontId="4" fillId="0" borderId="1" xfId="2" applyFont="1" applyBorder="1" applyAlignment="1" applyProtection="1">
      <alignment horizontal="center" vertical="center"/>
      <protection locked="0"/>
    </xf>
    <xf numFmtId="41" fontId="4" fillId="0" borderId="1" xfId="2" applyFont="1" applyBorder="1" applyAlignment="1" applyProtection="1">
      <alignment horizontal="center" vertical="center" wrapText="1"/>
      <protection locked="0"/>
    </xf>
    <xf numFmtId="176" fontId="5" fillId="0" borderId="1" xfId="2" applyNumberFormat="1" applyFont="1" applyBorder="1" applyAlignment="1" applyProtection="1">
      <alignment horizontal="right" vertical="center" shrinkToFit="1"/>
      <protection locked="0"/>
    </xf>
    <xf numFmtId="41" fontId="3" fillId="0" borderId="1" xfId="2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2" applyFont="1" applyBorder="1">
      <alignment vertical="center"/>
    </xf>
    <xf numFmtId="41" fontId="3" fillId="0" borderId="1" xfId="2" applyFont="1" applyBorder="1" applyAlignment="1" applyProtection="1">
      <alignment vertical="center" shrinkToFit="1"/>
      <protection locked="0"/>
    </xf>
    <xf numFmtId="0" fontId="2" fillId="0" borderId="0" xfId="5">
      <alignment vertical="center"/>
    </xf>
    <xf numFmtId="0" fontId="6" fillId="2" borderId="0" xfId="6" applyFont="1" applyFill="1" applyAlignment="1">
      <alignment horizontal="center"/>
    </xf>
    <xf numFmtId="41" fontId="6" fillId="2" borderId="0" xfId="7" applyFont="1" applyFill="1" applyAlignment="1">
      <alignment horizontal="center"/>
    </xf>
    <xf numFmtId="0" fontId="7" fillId="2" borderId="0" xfId="6" applyFont="1" applyFill="1" applyAlignment="1">
      <alignment horizontal="left" vertical="center"/>
    </xf>
    <xf numFmtId="0" fontId="8" fillId="0" borderId="0" xfId="5" applyFont="1">
      <alignment vertical="center"/>
    </xf>
    <xf numFmtId="0" fontId="9" fillId="2" borderId="0" xfId="5" applyFont="1" applyFill="1">
      <alignment vertical="center"/>
    </xf>
    <xf numFmtId="0" fontId="8" fillId="2" borderId="0" xfId="5" applyFont="1" applyFill="1">
      <alignment vertical="center"/>
    </xf>
    <xf numFmtId="0" fontId="9" fillId="2" borderId="1" xfId="4" applyFont="1" applyFill="1" applyBorder="1"/>
    <xf numFmtId="0" fontId="9" fillId="3" borderId="1" xfId="4" applyFont="1" applyFill="1" applyBorder="1" applyAlignment="1">
      <alignment horizontal="right"/>
    </xf>
    <xf numFmtId="0" fontId="9" fillId="2" borderId="1" xfId="4" applyFont="1" applyFill="1" applyBorder="1" applyAlignment="1">
      <alignment vertical="center"/>
    </xf>
    <xf numFmtId="177" fontId="9" fillId="4" borderId="1" xfId="4" applyNumberFormat="1" applyFont="1" applyFill="1" applyBorder="1" applyAlignment="1">
      <alignment horizontal="right" vertical="center"/>
    </xf>
    <xf numFmtId="0" fontId="9" fillId="2" borderId="1" xfId="4" applyFont="1" applyFill="1" applyBorder="1" applyAlignment="1">
      <alignment horizontal="center" vertical="center"/>
    </xf>
    <xf numFmtId="0" fontId="7" fillId="0" borderId="1" xfId="4" applyFont="1" applyBorder="1" applyAlignment="1">
      <alignment horizontal="right" vertical="center" wrapText="1"/>
    </xf>
    <xf numFmtId="0" fontId="10" fillId="0" borderId="1" xfId="4" applyFont="1" applyBorder="1" applyAlignment="1">
      <alignment horizontal="left" vertical="center" wrapText="1"/>
    </xf>
    <xf numFmtId="0" fontId="11" fillId="5" borderId="1" xfId="4" applyFont="1" applyFill="1" applyBorder="1" applyAlignment="1">
      <alignment horizontal="center" vertical="center"/>
    </xf>
    <xf numFmtId="0" fontId="7" fillId="5" borderId="1" xfId="4" applyFont="1" applyFill="1" applyBorder="1" applyAlignment="1">
      <alignment horizontal="center" vertical="center"/>
    </xf>
    <xf numFmtId="0" fontId="7" fillId="5" borderId="1" xfId="4" applyFont="1" applyFill="1" applyBorder="1" applyAlignment="1">
      <alignment horizontal="center" vertical="center" wrapText="1"/>
    </xf>
    <xf numFmtId="41" fontId="7" fillId="5" borderId="1" xfId="7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left" vertical="center"/>
    </xf>
    <xf numFmtId="0" fontId="8" fillId="2" borderId="2" xfId="4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center" vertical="center"/>
    </xf>
    <xf numFmtId="41" fontId="9" fillId="2" borderId="2" xfId="7" applyFont="1" applyFill="1" applyBorder="1" applyAlignment="1">
      <alignment horizontal="center" vertical="center"/>
    </xf>
    <xf numFmtId="0" fontId="8" fillId="2" borderId="2" xfId="4" applyFont="1" applyFill="1" applyBorder="1" applyAlignment="1">
      <alignment horizontal="left" vertical="center"/>
    </xf>
    <xf numFmtId="41" fontId="9" fillId="2" borderId="0" xfId="7" applyFont="1" applyFill="1">
      <alignment vertical="center"/>
    </xf>
    <xf numFmtId="0" fontId="8" fillId="0" borderId="0" xfId="5" applyFont="1" applyAlignment="1">
      <alignment horizontal="right" vertical="center"/>
    </xf>
    <xf numFmtId="41" fontId="8" fillId="0" borderId="0" xfId="7" applyFont="1">
      <alignment vertical="center"/>
    </xf>
    <xf numFmtId="0" fontId="8" fillId="0" borderId="0" xfId="5" applyFont="1" applyAlignment="1">
      <alignment horizontal="left" vertical="center"/>
    </xf>
    <xf numFmtId="0" fontId="8" fillId="0" borderId="0" xfId="5" applyFont="1" applyAlignment="1">
      <alignment horizontal="center" vertical="center"/>
    </xf>
    <xf numFmtId="0" fontId="10" fillId="4" borderId="1" xfId="4" applyFont="1" applyFill="1" applyBorder="1" applyAlignment="1">
      <alignment horizontal="left" vertical="center" wrapText="1"/>
    </xf>
    <xf numFmtId="41" fontId="3" fillId="2" borderId="1" xfId="2" applyFont="1" applyFill="1" applyBorder="1" applyAlignment="1" applyProtection="1">
      <alignment vertical="center" shrinkToFit="1"/>
      <protection locked="0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41" fontId="10" fillId="0" borderId="0" xfId="7" applyFont="1" applyAlignment="1">
      <alignment horizontal="right"/>
    </xf>
    <xf numFmtId="0" fontId="9" fillId="0" borderId="0" xfId="0" applyFont="1">
      <alignment vertical="center"/>
    </xf>
    <xf numFmtId="41" fontId="9" fillId="0" borderId="0" xfId="0" applyNumberFormat="1" applyFont="1">
      <alignment vertical="center"/>
    </xf>
    <xf numFmtId="41" fontId="9" fillId="0" borderId="1" xfId="0" applyNumberFormat="1" applyFont="1" applyBorder="1">
      <alignment vertical="center"/>
    </xf>
    <xf numFmtId="41" fontId="4" fillId="0" borderId="3" xfId="7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center" vertical="center"/>
    </xf>
    <xf numFmtId="177" fontId="4" fillId="0" borderId="4" xfId="7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41" fontId="4" fillId="2" borderId="1" xfId="2" applyFont="1" applyFill="1" applyBorder="1" applyAlignment="1" applyProtection="1">
      <alignment horizontal="center" vertical="center" wrapText="1"/>
      <protection locked="0"/>
    </xf>
    <xf numFmtId="41" fontId="4" fillId="0" borderId="5" xfId="7" applyFont="1" applyBorder="1" applyAlignment="1">
      <alignment horizontal="center" vertical="center"/>
    </xf>
    <xf numFmtId="0" fontId="7" fillId="0" borderId="0" xfId="6" applyFont="1" applyAlignment="1">
      <alignment horizontal="center" vertical="center"/>
    </xf>
    <xf numFmtId="0" fontId="12" fillId="0" borderId="0" xfId="6" applyFont="1" applyAlignment="1">
      <alignment horizontal="center" vertical="center"/>
    </xf>
    <xf numFmtId="41" fontId="7" fillId="2" borderId="0" xfId="6" applyNumberFormat="1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177" fontId="10" fillId="2" borderId="1" xfId="4" applyNumberFormat="1" applyFont="1" applyFill="1" applyBorder="1" applyAlignment="1">
      <alignment horizontal="left" vertical="center"/>
    </xf>
    <xf numFmtId="41" fontId="8" fillId="0" borderId="0" xfId="5" applyNumberFormat="1" applyFont="1">
      <alignment vertical="center"/>
    </xf>
    <xf numFmtId="41" fontId="18" fillId="0" borderId="0" xfId="2">
      <alignment vertical="center"/>
    </xf>
    <xf numFmtId="0" fontId="4" fillId="0" borderId="6" xfId="5" applyFont="1" applyBorder="1" applyAlignment="1">
      <alignment horizontal="center" vertical="center"/>
    </xf>
    <xf numFmtId="0" fontId="4" fillId="0" borderId="3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4" fillId="0" borderId="5" xfId="5" applyFont="1" applyBorder="1" applyAlignment="1">
      <alignment horizontal="center" vertical="center"/>
    </xf>
    <xf numFmtId="0" fontId="4" fillId="0" borderId="7" xfId="5" applyFont="1" applyBorder="1" applyAlignment="1">
      <alignment horizontal="center" vertical="center"/>
    </xf>
    <xf numFmtId="0" fontId="5" fillId="2" borderId="8" xfId="5" applyFont="1" applyFill="1" applyBorder="1" applyAlignment="1">
      <alignment horizontal="center" vertical="center"/>
    </xf>
    <xf numFmtId="0" fontId="5" fillId="2" borderId="1" xfId="5" applyFont="1" applyFill="1" applyBorder="1" applyAlignment="1">
      <alignment horizontal="center" vertical="center"/>
    </xf>
    <xf numFmtId="0" fontId="5" fillId="0" borderId="9" xfId="5" applyFont="1" applyBorder="1" applyAlignment="1">
      <alignment horizontal="center" vertical="center"/>
    </xf>
    <xf numFmtId="0" fontId="5" fillId="2" borderId="10" xfId="5" applyFont="1" applyFill="1" applyBorder="1" applyAlignment="1">
      <alignment horizontal="center" vertical="center"/>
    </xf>
    <xf numFmtId="0" fontId="5" fillId="2" borderId="11" xfId="5" applyFont="1" applyFill="1" applyBorder="1" applyAlignment="1">
      <alignment horizontal="center" vertical="center"/>
    </xf>
    <xf numFmtId="0" fontId="5" fillId="2" borderId="12" xfId="5" applyFont="1" applyFill="1" applyBorder="1" applyAlignment="1">
      <alignment horizontal="center" vertical="center"/>
    </xf>
    <xf numFmtId="0" fontId="5" fillId="2" borderId="13" xfId="5" applyFont="1" applyFill="1" applyBorder="1" applyAlignment="1">
      <alignment horizontal="center" vertical="center"/>
    </xf>
    <xf numFmtId="0" fontId="5" fillId="2" borderId="14" xfId="5" applyFont="1" applyFill="1" applyBorder="1" applyAlignment="1">
      <alignment horizontal="center" vertical="center"/>
    </xf>
    <xf numFmtId="0" fontId="5" fillId="2" borderId="1" xfId="5" applyFont="1" applyFill="1" applyBorder="1" applyAlignment="1">
      <alignment horizontal="center" vertical="center" wrapText="1"/>
    </xf>
    <xf numFmtId="0" fontId="5" fillId="2" borderId="4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 wrapText="1"/>
    </xf>
    <xf numFmtId="0" fontId="5" fillId="2" borderId="16" xfId="5" applyFont="1" applyFill="1" applyBorder="1" applyAlignment="1">
      <alignment horizontal="center" vertical="center"/>
    </xf>
    <xf numFmtId="0" fontId="5" fillId="2" borderId="17" xfId="5" applyFont="1" applyFill="1" applyBorder="1" applyAlignment="1">
      <alignment horizontal="center" vertical="center"/>
    </xf>
    <xf numFmtId="0" fontId="5" fillId="2" borderId="18" xfId="5" applyFont="1" applyFill="1" applyBorder="1" applyAlignment="1">
      <alignment horizontal="center" vertical="center"/>
    </xf>
    <xf numFmtId="0" fontId="14" fillId="2" borderId="0" xfId="5" applyFont="1" applyFill="1" applyAlignment="1">
      <alignment horizontal="center" vertical="center"/>
    </xf>
    <xf numFmtId="0" fontId="5" fillId="0" borderId="0" xfId="5" applyFont="1" applyAlignment="1">
      <alignment horizontal="center" vertical="center"/>
    </xf>
    <xf numFmtId="41" fontId="14" fillId="2" borderId="0" xfId="7" applyFont="1" applyFill="1" applyAlignment="1">
      <alignment horizontal="center" vertical="center"/>
    </xf>
    <xf numFmtId="0" fontId="4" fillId="0" borderId="0" xfId="5" applyFont="1" applyAlignment="1">
      <alignment horizontal="center" vertical="center"/>
    </xf>
    <xf numFmtId="41" fontId="4" fillId="0" borderId="0" xfId="7" applyFont="1" applyAlignment="1">
      <alignment horizontal="center" vertical="center"/>
    </xf>
    <xf numFmtId="41" fontId="4" fillId="0" borderId="0" xfId="5" applyNumberFormat="1" applyFont="1" applyAlignment="1">
      <alignment horizontal="center" vertical="center"/>
    </xf>
    <xf numFmtId="0" fontId="4" fillId="0" borderId="0" xfId="5" applyFont="1" applyAlignment="1">
      <alignment horizontal="right" vertical="center"/>
    </xf>
    <xf numFmtId="41" fontId="14" fillId="2" borderId="0" xfId="5" applyNumberFormat="1" applyFont="1" applyFill="1" applyAlignment="1">
      <alignment horizontal="center" vertical="center"/>
    </xf>
    <xf numFmtId="0" fontId="14" fillId="2" borderId="0" xfId="5" applyFont="1" applyFill="1" applyAlignment="1">
      <alignment horizontal="left" vertical="center"/>
    </xf>
    <xf numFmtId="41" fontId="5" fillId="0" borderId="0" xfId="7" applyFont="1" applyAlignment="1">
      <alignment horizontal="center" vertical="center"/>
    </xf>
    <xf numFmtId="41" fontId="5" fillId="0" borderId="0" xfId="5" applyNumberFormat="1" applyFont="1" applyAlignment="1">
      <alignment horizontal="center" vertical="center"/>
    </xf>
    <xf numFmtId="0" fontId="5" fillId="0" borderId="0" xfId="5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8" fillId="0" borderId="0" xfId="1" applyNumberFormat="1" applyFont="1">
      <alignment vertical="center"/>
    </xf>
    <xf numFmtId="177" fontId="10" fillId="2" borderId="1" xfId="4" applyNumberFormat="1" applyFont="1" applyFill="1" applyBorder="1" applyAlignment="1">
      <alignment horizontal="left" vertical="center" wrapText="1"/>
    </xf>
    <xf numFmtId="41" fontId="12" fillId="0" borderId="1" xfId="7" applyFont="1" applyBorder="1" applyAlignment="1">
      <alignment horizontal="center" vertical="center"/>
    </xf>
    <xf numFmtId="0" fontId="12" fillId="0" borderId="1" xfId="4" applyFont="1" applyBorder="1" applyAlignment="1">
      <alignment horizontal="center" vertical="center"/>
    </xf>
    <xf numFmtId="41" fontId="7" fillId="0" borderId="1" xfId="7" applyFont="1" applyBorder="1" applyAlignment="1">
      <alignment horizontal="center" vertical="center"/>
    </xf>
    <xf numFmtId="41" fontId="12" fillId="4" borderId="1" xfId="7" applyFont="1" applyFill="1" applyBorder="1" applyAlignment="1">
      <alignment horizontal="center" vertical="center"/>
    </xf>
    <xf numFmtId="0" fontId="12" fillId="4" borderId="1" xfId="4" applyFont="1" applyFill="1" applyBorder="1" applyAlignment="1">
      <alignment horizontal="center" vertical="center"/>
    </xf>
    <xf numFmtId="41" fontId="7" fillId="4" borderId="1" xfId="7" applyFont="1" applyFill="1" applyBorder="1" applyAlignment="1">
      <alignment horizontal="center" vertical="center"/>
    </xf>
    <xf numFmtId="41" fontId="12" fillId="2" borderId="1" xfId="7" applyFont="1" applyFill="1" applyBorder="1" applyAlignment="1">
      <alignment horizontal="center" vertical="center"/>
    </xf>
    <xf numFmtId="41" fontId="7" fillId="4" borderId="1" xfId="4" applyNumberFormat="1" applyFont="1" applyFill="1" applyBorder="1" applyAlignment="1">
      <alignment horizontal="center" vertical="center"/>
    </xf>
    <xf numFmtId="41" fontId="7" fillId="2" borderId="1" xfId="4" applyNumberFormat="1" applyFont="1" applyFill="1" applyBorder="1" applyAlignment="1">
      <alignment horizontal="center" vertical="center" wrapText="1"/>
    </xf>
    <xf numFmtId="176" fontId="8" fillId="0" borderId="0" xfId="5" applyNumberFormat="1" applyFont="1">
      <alignment vertical="center"/>
    </xf>
    <xf numFmtId="0" fontId="15" fillId="0" borderId="0" xfId="5" applyFont="1" applyAlignment="1">
      <alignment horizontal="left" vertical="center"/>
    </xf>
    <xf numFmtId="0" fontId="5" fillId="0" borderId="0" xfId="5" applyFont="1" applyAlignment="1">
      <alignment horizontal="left" vertical="center"/>
    </xf>
    <xf numFmtId="41" fontId="0" fillId="0" borderId="0" xfId="3" applyNumberFormat="1" applyFont="1" applyAlignment="1">
      <alignment vertical="center"/>
    </xf>
    <xf numFmtId="176" fontId="3" fillId="0" borderId="0" xfId="0" applyNumberFormat="1" applyFont="1">
      <alignment vertical="center"/>
    </xf>
    <xf numFmtId="0" fontId="12" fillId="2" borderId="1" xfId="4" applyFont="1" applyFill="1" applyBorder="1" applyAlignment="1">
      <alignment vertical="center" wrapText="1"/>
    </xf>
    <xf numFmtId="41" fontId="20" fillId="0" borderId="1" xfId="7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41" fontId="20" fillId="0" borderId="18" xfId="7" applyFont="1" applyBorder="1">
      <alignment vertical="center"/>
    </xf>
    <xf numFmtId="0" fontId="21" fillId="0" borderId="1" xfId="4" applyFont="1" applyBorder="1" applyAlignment="1">
      <alignment horizontal="center" vertical="center"/>
    </xf>
    <xf numFmtId="41" fontId="22" fillId="0" borderId="1" xfId="7" applyFont="1" applyBorder="1" applyAlignment="1">
      <alignment horizontal="center" vertical="center"/>
    </xf>
    <xf numFmtId="0" fontId="21" fillId="2" borderId="1" xfId="4" applyFont="1" applyFill="1" applyBorder="1" applyAlignment="1">
      <alignment horizontal="center" vertical="center"/>
    </xf>
    <xf numFmtId="41" fontId="3" fillId="0" borderId="1" xfId="2" applyFont="1" applyBorder="1" applyAlignment="1">
      <alignment horizontal="left" vertical="center"/>
    </xf>
    <xf numFmtId="41" fontId="7" fillId="2" borderId="0" xfId="7" applyFont="1" applyFill="1" applyAlignment="1">
      <alignment horizontal="center"/>
    </xf>
    <xf numFmtId="0" fontId="7" fillId="2" borderId="0" xfId="6" applyFont="1" applyFill="1" applyAlignment="1">
      <alignment horizontal="center"/>
    </xf>
    <xf numFmtId="0" fontId="7" fillId="0" borderId="0" xfId="5" applyFont="1" applyAlignment="1">
      <alignment horizontal="right" vertical="center"/>
    </xf>
    <xf numFmtId="41" fontId="23" fillId="0" borderId="1" xfId="4" applyNumberFormat="1" applyFont="1" applyBorder="1" applyAlignment="1">
      <alignment horizontal="right" vertical="center" wrapText="1"/>
    </xf>
    <xf numFmtId="0" fontId="24" fillId="0" borderId="1" xfId="4" applyFont="1" applyBorder="1" applyAlignment="1">
      <alignment horizontal="left" vertical="center" wrapText="1"/>
    </xf>
    <xf numFmtId="176" fontId="5" fillId="0" borderId="1" xfId="2" applyNumberFormat="1" applyFont="1" applyBorder="1" applyAlignment="1" applyProtection="1">
      <alignment horizontal="center" vertical="center" shrinkToFit="1"/>
      <protection locked="0"/>
    </xf>
    <xf numFmtId="41" fontId="25" fillId="0" borderId="19" xfId="7" applyFont="1" applyBorder="1" applyAlignment="1">
      <alignment horizontal="center" vertical="center"/>
    </xf>
    <xf numFmtId="0" fontId="26" fillId="0" borderId="20" xfId="5" applyFont="1" applyBorder="1" applyAlignment="1">
      <alignment horizontal="left" vertical="center" wrapText="1"/>
    </xf>
    <xf numFmtId="41" fontId="25" fillId="0" borderId="1" xfId="7" applyFont="1" applyBorder="1">
      <alignment vertical="center"/>
    </xf>
    <xf numFmtId="0" fontId="26" fillId="0" borderId="15" xfId="5" applyFont="1" applyBorder="1" applyAlignment="1">
      <alignment horizontal="left" vertical="center" wrapText="1"/>
    </xf>
    <xf numFmtId="41" fontId="25" fillId="0" borderId="4" xfId="7" applyFont="1" applyBorder="1">
      <alignment vertical="center"/>
    </xf>
    <xf numFmtId="41" fontId="25" fillId="0" borderId="18" xfId="7" applyFont="1" applyBorder="1" applyAlignment="1">
      <alignment horizontal="center" vertical="center"/>
    </xf>
    <xf numFmtId="41" fontId="25" fillId="2" borderId="18" xfId="7" applyFont="1" applyFill="1" applyBorder="1" applyAlignment="1">
      <alignment horizontal="center" vertical="center"/>
    </xf>
    <xf numFmtId="41" fontId="25" fillId="2" borderId="4" xfId="7" applyFont="1" applyFill="1" applyBorder="1" applyAlignment="1">
      <alignment horizontal="center" vertical="center"/>
    </xf>
    <xf numFmtId="41" fontId="25" fillId="0" borderId="4" xfId="5" applyNumberFormat="1" applyFont="1" applyBorder="1">
      <alignment vertical="center"/>
    </xf>
    <xf numFmtId="41" fontId="25" fillId="2" borderId="1" xfId="7" applyFont="1" applyFill="1" applyBorder="1" applyAlignment="1">
      <alignment horizontal="center" vertical="center"/>
    </xf>
    <xf numFmtId="0" fontId="27" fillId="0" borderId="15" xfId="5" applyFont="1" applyBorder="1" applyAlignment="1">
      <alignment horizontal="left" vertical="center"/>
    </xf>
    <xf numFmtId="41" fontId="25" fillId="0" borderId="1" xfId="5" applyNumberFormat="1" applyFont="1" applyBorder="1">
      <alignment vertical="center"/>
    </xf>
    <xf numFmtId="0" fontId="27" fillId="0" borderId="15" xfId="5" applyFont="1" applyBorder="1" applyAlignment="1">
      <alignment horizontal="left" vertical="center" wrapText="1"/>
    </xf>
    <xf numFmtId="176" fontId="25" fillId="0" borderId="1" xfId="5" applyNumberFormat="1" applyFont="1" applyBorder="1">
      <alignment vertical="center"/>
    </xf>
    <xf numFmtId="0" fontId="25" fillId="0" borderId="6" xfId="5" applyFont="1" applyBorder="1" applyAlignment="1">
      <alignment horizontal="center" vertical="center"/>
    </xf>
    <xf numFmtId="0" fontId="25" fillId="0" borderId="3" xfId="5" applyFont="1" applyBorder="1" applyAlignment="1">
      <alignment horizontal="center" vertical="center"/>
    </xf>
    <xf numFmtId="41" fontId="28" fillId="0" borderId="3" xfId="7" applyFont="1" applyBorder="1" applyAlignment="1">
      <alignment horizontal="center" vertical="center"/>
    </xf>
    <xf numFmtId="41" fontId="25" fillId="0" borderId="3" xfId="7" applyFont="1" applyBorder="1" applyAlignment="1">
      <alignment horizontal="center" vertical="center"/>
    </xf>
    <xf numFmtId="0" fontId="25" fillId="2" borderId="8" xfId="5" applyFont="1" applyFill="1" applyBorder="1" applyAlignment="1">
      <alignment horizontal="center" vertical="center"/>
    </xf>
    <xf numFmtId="0" fontId="25" fillId="2" borderId="1" xfId="5" applyFont="1" applyFill="1" applyBorder="1">
      <alignment vertical="center"/>
    </xf>
    <xf numFmtId="0" fontId="25" fillId="2" borderId="1" xfId="5" applyFont="1" applyFill="1" applyBorder="1" applyAlignment="1">
      <alignment horizontal="center" vertical="center"/>
    </xf>
    <xf numFmtId="0" fontId="25" fillId="2" borderId="1" xfId="5" applyFont="1" applyFill="1" applyBorder="1" applyAlignment="1">
      <alignment horizontal="center" vertical="center" wrapText="1"/>
    </xf>
    <xf numFmtId="3" fontId="25" fillId="0" borderId="1" xfId="5" applyNumberFormat="1" applyFont="1" applyBorder="1">
      <alignment vertical="center"/>
    </xf>
    <xf numFmtId="0" fontId="27" fillId="2" borderId="15" xfId="4" applyFont="1" applyFill="1" applyBorder="1" applyAlignment="1">
      <alignment horizontal="left" vertical="center" wrapText="1"/>
    </xf>
    <xf numFmtId="0" fontId="25" fillId="0" borderId="1" xfId="5" applyFont="1" applyBorder="1" applyAlignment="1">
      <alignment horizontal="center" vertical="center"/>
    </xf>
    <xf numFmtId="41" fontId="25" fillId="2" borderId="1" xfId="7" applyFont="1" applyFill="1" applyBorder="1" applyAlignment="1">
      <alignment horizontal="left" vertical="center"/>
    </xf>
    <xf numFmtId="0" fontId="25" fillId="2" borderId="18" xfId="5" applyFont="1" applyFill="1" applyBorder="1" applyAlignment="1">
      <alignment horizontal="center" vertical="center"/>
    </xf>
    <xf numFmtId="176" fontId="25" fillId="0" borderId="18" xfId="5" applyNumberFormat="1" applyFont="1" applyBorder="1">
      <alignment vertical="center"/>
    </xf>
    <xf numFmtId="0" fontId="27" fillId="0" borderId="21" xfId="5" applyFont="1" applyBorder="1" applyAlignment="1">
      <alignment horizontal="left" vertical="center"/>
    </xf>
    <xf numFmtId="41" fontId="25" fillId="0" borderId="17" xfId="5" applyNumberFormat="1" applyFont="1" applyBorder="1">
      <alignment vertical="center"/>
    </xf>
    <xf numFmtId="176" fontId="0" fillId="0" borderId="0" xfId="0" applyNumberFormat="1">
      <alignment vertical="center"/>
    </xf>
    <xf numFmtId="41" fontId="30" fillId="0" borderId="19" xfId="7" applyFont="1" applyBorder="1" applyAlignment="1">
      <alignment horizontal="center" vertical="center"/>
    </xf>
    <xf numFmtId="41" fontId="30" fillId="0" borderId="1" xfId="7" applyFont="1" applyBorder="1">
      <alignment vertical="center"/>
    </xf>
    <xf numFmtId="41" fontId="20" fillId="0" borderId="19" xfId="7" applyFont="1" applyBorder="1" applyAlignment="1">
      <alignment horizontal="center" vertical="center"/>
    </xf>
    <xf numFmtId="0" fontId="33" fillId="0" borderId="15" xfId="5" applyFont="1" applyBorder="1" applyAlignment="1">
      <alignment horizontal="left" vertical="center" wrapText="1"/>
    </xf>
    <xf numFmtId="0" fontId="33" fillId="0" borderId="15" xfId="5" applyFont="1" applyBorder="1" applyAlignment="1">
      <alignment horizontal="left" vertical="center"/>
    </xf>
    <xf numFmtId="0" fontId="34" fillId="0" borderId="15" xfId="5" applyFont="1" applyBorder="1" applyAlignment="1">
      <alignment horizontal="left" vertical="center"/>
    </xf>
    <xf numFmtId="41" fontId="35" fillId="0" borderId="1" xfId="7" applyFont="1" applyBorder="1">
      <alignment vertical="center"/>
    </xf>
    <xf numFmtId="41" fontId="35" fillId="0" borderId="19" xfId="7" applyFont="1" applyBorder="1" applyAlignment="1">
      <alignment horizontal="center" vertical="center"/>
    </xf>
    <xf numFmtId="0" fontId="33" fillId="0" borderId="23" xfId="5" applyFont="1" applyBorder="1" applyAlignment="1">
      <alignment horizontal="left" vertical="center" wrapText="1"/>
    </xf>
    <xf numFmtId="41" fontId="20" fillId="0" borderId="18" xfId="7" applyFont="1" applyBorder="1" applyAlignment="1">
      <alignment horizontal="center" vertical="center"/>
    </xf>
    <xf numFmtId="0" fontId="33" fillId="0" borderId="21" xfId="5" applyFont="1" applyBorder="1" applyAlignment="1">
      <alignment horizontal="left" vertical="center" wrapText="1"/>
    </xf>
    <xf numFmtId="41" fontId="37" fillId="0" borderId="1" xfId="4" applyNumberFormat="1" applyFont="1" applyBorder="1" applyAlignment="1">
      <alignment horizontal="right" vertical="center" wrapText="1"/>
    </xf>
    <xf numFmtId="41" fontId="37" fillId="0" borderId="1" xfId="7" applyFont="1" applyBorder="1" applyAlignment="1">
      <alignment horizontal="center" vertical="center"/>
    </xf>
    <xf numFmtId="41" fontId="37" fillId="4" borderId="1" xfId="4" applyNumberFormat="1" applyFont="1" applyFill="1" applyBorder="1" applyAlignment="1">
      <alignment horizontal="right" vertical="center" wrapText="1"/>
    </xf>
    <xf numFmtId="41" fontId="37" fillId="3" borderId="1" xfId="4" applyNumberFormat="1" applyFont="1" applyFill="1" applyBorder="1" applyAlignment="1">
      <alignment horizontal="center" vertical="center"/>
    </xf>
    <xf numFmtId="41" fontId="37" fillId="4" borderId="1" xfId="7" applyFont="1" applyFill="1" applyBorder="1" applyAlignment="1">
      <alignment horizontal="center" vertical="center"/>
    </xf>
    <xf numFmtId="0" fontId="7" fillId="5" borderId="1" xfId="6" applyFont="1" applyFill="1" applyBorder="1" applyAlignment="1">
      <alignment horizontal="center" vertical="center"/>
    </xf>
    <xf numFmtId="0" fontId="7" fillId="5" borderId="22" xfId="6" applyFont="1" applyFill="1" applyBorder="1" applyAlignment="1">
      <alignment horizontal="center" vertical="center"/>
    </xf>
    <xf numFmtId="0" fontId="12" fillId="2" borderId="1" xfId="6" applyFont="1" applyFill="1" applyBorder="1" applyAlignment="1">
      <alignment horizontal="left" vertical="center"/>
    </xf>
    <xf numFmtId="41" fontId="38" fillId="0" borderId="1" xfId="7" applyFont="1" applyFill="1" applyBorder="1" applyAlignment="1">
      <alignment horizontal="center" vertical="center"/>
    </xf>
    <xf numFmtId="41" fontId="37" fillId="2" borderId="1" xfId="7" applyFont="1" applyFill="1" applyBorder="1" applyAlignment="1">
      <alignment horizontal="center" vertical="center"/>
    </xf>
    <xf numFmtId="0" fontId="21" fillId="2" borderId="1" xfId="6" applyFont="1" applyFill="1" applyBorder="1" applyAlignment="1">
      <alignment horizontal="left" vertical="center"/>
    </xf>
    <xf numFmtId="0" fontId="12" fillId="2" borderId="4" xfId="6" applyFont="1" applyFill="1" applyBorder="1" applyAlignment="1">
      <alignment horizontal="center" vertical="center" wrapText="1"/>
    </xf>
    <xf numFmtId="41" fontId="38" fillId="2" borderId="1" xfId="7" applyFont="1" applyFill="1" applyBorder="1" applyAlignment="1">
      <alignment horizontal="center" vertical="center"/>
    </xf>
    <xf numFmtId="0" fontId="12" fillId="2" borderId="22" xfId="6" applyFont="1" applyFill="1" applyBorder="1" applyAlignment="1">
      <alignment horizontal="left" vertical="center"/>
    </xf>
    <xf numFmtId="0" fontId="12" fillId="2" borderId="4" xfId="6" applyFont="1" applyFill="1" applyBorder="1" applyAlignment="1">
      <alignment horizontal="center" vertical="center"/>
    </xf>
    <xf numFmtId="41" fontId="22" fillId="2" borderId="1" xfId="7" applyFont="1" applyFill="1" applyBorder="1" applyAlignment="1">
      <alignment horizontal="center" vertical="center"/>
    </xf>
    <xf numFmtId="0" fontId="39" fillId="2" borderId="22" xfId="6" applyFont="1" applyFill="1" applyBorder="1" applyAlignment="1">
      <alignment horizontal="left" vertical="center"/>
    </xf>
    <xf numFmtId="41" fontId="22" fillId="4" borderId="1" xfId="6" applyNumberFormat="1" applyFont="1" applyFill="1" applyBorder="1" applyAlignment="1">
      <alignment horizontal="center" vertical="center"/>
    </xf>
    <xf numFmtId="0" fontId="12" fillId="0" borderId="22" xfId="6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/>
    </xf>
    <xf numFmtId="41" fontId="12" fillId="2" borderId="1" xfId="7" applyFont="1" applyFill="1" applyBorder="1" applyAlignment="1">
      <alignment horizontal="center" vertical="center" wrapText="1"/>
    </xf>
    <xf numFmtId="0" fontId="39" fillId="2" borderId="1" xfId="6" applyFont="1" applyFill="1" applyBorder="1" applyAlignment="1">
      <alignment horizontal="left" vertical="center" wrapText="1"/>
    </xf>
    <xf numFmtId="0" fontId="12" fillId="2" borderId="1" xfId="6" applyFont="1" applyFill="1" applyBorder="1" applyAlignment="1">
      <alignment horizontal="center" vertical="center" wrapText="1"/>
    </xf>
    <xf numFmtId="41" fontId="29" fillId="2" borderId="1" xfId="7" applyFont="1" applyFill="1" applyBorder="1" applyAlignment="1">
      <alignment horizontal="center" vertical="center"/>
    </xf>
    <xf numFmtId="0" fontId="39" fillId="2" borderId="1" xfId="6" applyFont="1" applyFill="1" applyBorder="1" applyAlignment="1">
      <alignment horizontal="left" vertical="center"/>
    </xf>
    <xf numFmtId="0" fontId="12" fillId="2" borderId="1" xfId="6" applyFont="1" applyFill="1" applyBorder="1" applyAlignment="1">
      <alignment horizontal="center" vertical="center"/>
    </xf>
    <xf numFmtId="0" fontId="12" fillId="2" borderId="1" xfId="6" applyFont="1" applyFill="1" applyBorder="1" applyAlignment="1">
      <alignment horizontal="left" vertical="center" wrapText="1"/>
    </xf>
    <xf numFmtId="0" fontId="12" fillId="2" borderId="22" xfId="6" applyFont="1" applyFill="1" applyBorder="1" applyAlignment="1">
      <alignment horizontal="left" vertical="center" wrapText="1"/>
    </xf>
    <xf numFmtId="0" fontId="12" fillId="2" borderId="1" xfId="6" applyFont="1" applyFill="1" applyBorder="1" applyAlignment="1">
      <alignment vertical="center"/>
    </xf>
    <xf numFmtId="0" fontId="38" fillId="2" borderId="1" xfId="6" applyFont="1" applyFill="1" applyBorder="1" applyAlignment="1">
      <alignment horizontal="left" vertical="center"/>
    </xf>
    <xf numFmtId="41" fontId="38" fillId="2" borderId="1" xfId="7" applyFont="1" applyFill="1" applyBorder="1" applyAlignment="1">
      <alignment horizontal="center" vertical="center" wrapText="1"/>
    </xf>
    <xf numFmtId="0" fontId="38" fillId="2" borderId="22" xfId="6" applyFont="1" applyFill="1" applyBorder="1" applyAlignment="1">
      <alignment horizontal="left" vertical="center" wrapText="1"/>
    </xf>
    <xf numFmtId="0" fontId="38" fillId="2" borderId="22" xfId="6" applyFont="1" applyFill="1" applyBorder="1" applyAlignment="1">
      <alignment horizontal="left" vertical="center"/>
    </xf>
    <xf numFmtId="0" fontId="38" fillId="2" borderId="1" xfId="6" applyFont="1" applyFill="1" applyBorder="1" applyAlignment="1">
      <alignment horizontal="center" vertical="center"/>
    </xf>
    <xf numFmtId="0" fontId="7" fillId="0" borderId="1" xfId="5" applyFont="1" applyBorder="1" applyAlignment="1">
      <alignment horizontal="left" vertical="center"/>
    </xf>
    <xf numFmtId="0" fontId="7" fillId="0" borderId="1" xfId="5" applyFont="1" applyBorder="1">
      <alignment vertical="center"/>
    </xf>
    <xf numFmtId="41" fontId="37" fillId="4" borderId="1" xfId="6" applyNumberFormat="1" applyFont="1" applyFill="1" applyBorder="1" applyAlignment="1">
      <alignment horizontal="center" vertical="center"/>
    </xf>
    <xf numFmtId="41" fontId="37" fillId="3" borderId="1" xfId="5" applyNumberFormat="1" applyFont="1" applyFill="1" applyBorder="1">
      <alignment vertical="center"/>
    </xf>
    <xf numFmtId="41" fontId="30" fillId="2" borderId="4" xfId="7" applyFont="1" applyFill="1" applyBorder="1" applyAlignment="1">
      <alignment horizontal="center" vertical="center"/>
    </xf>
    <xf numFmtId="41" fontId="35" fillId="0" borderId="4" xfId="5" applyNumberFormat="1" applyFont="1" applyBorder="1">
      <alignment vertical="center"/>
    </xf>
    <xf numFmtId="41" fontId="30" fillId="0" borderId="1" xfId="5" applyNumberFormat="1" applyFont="1" applyBorder="1">
      <alignment vertical="center"/>
    </xf>
    <xf numFmtId="0" fontId="40" fillId="0" borderId="15" xfId="5" applyFont="1" applyBorder="1" applyAlignment="1">
      <alignment horizontal="left" vertical="center" wrapText="1"/>
    </xf>
    <xf numFmtId="3" fontId="30" fillId="0" borderId="1" xfId="5" applyNumberFormat="1" applyFont="1" applyBorder="1">
      <alignment vertical="center"/>
    </xf>
    <xf numFmtId="176" fontId="30" fillId="0" borderId="1" xfId="5" applyNumberFormat="1" applyFont="1" applyBorder="1">
      <alignment vertical="center"/>
    </xf>
    <xf numFmtId="176" fontId="35" fillId="0" borderId="1" xfId="5" applyNumberFormat="1" applyFont="1" applyBorder="1">
      <alignment vertical="center"/>
    </xf>
    <xf numFmtId="41" fontId="35" fillId="2" borderId="1" xfId="7" applyFont="1" applyFill="1" applyBorder="1" applyAlignment="1">
      <alignment horizontal="left" vertical="center"/>
    </xf>
    <xf numFmtId="41" fontId="35" fillId="2" borderId="4" xfId="7" applyFont="1" applyFill="1" applyBorder="1" applyAlignment="1">
      <alignment horizontal="center" vertical="center"/>
    </xf>
    <xf numFmtId="0" fontId="41" fillId="0" borderId="15" xfId="5" applyFont="1" applyBorder="1" applyAlignment="1">
      <alignment horizontal="left" vertical="center" wrapText="1"/>
    </xf>
    <xf numFmtId="41" fontId="30" fillId="2" borderId="1" xfId="7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10" xfId="5" applyFont="1" applyFill="1" applyBorder="1" applyAlignment="1">
      <alignment horizontal="center" vertical="center"/>
    </xf>
    <xf numFmtId="0" fontId="5" fillId="2" borderId="11" xfId="5" applyFont="1" applyFill="1" applyBorder="1" applyAlignment="1">
      <alignment horizontal="center" vertical="center"/>
    </xf>
    <xf numFmtId="0" fontId="5" fillId="2" borderId="14" xfId="5" applyFont="1" applyFill="1" applyBorder="1" applyAlignment="1">
      <alignment horizontal="center" vertical="center"/>
    </xf>
    <xf numFmtId="0" fontId="5" fillId="2" borderId="12" xfId="5" applyFont="1" applyFill="1" applyBorder="1" applyAlignment="1">
      <alignment horizontal="center" vertical="center"/>
    </xf>
    <xf numFmtId="0" fontId="5" fillId="0" borderId="24" xfId="5" applyFont="1" applyBorder="1" applyAlignment="1">
      <alignment horizontal="center" vertical="center"/>
    </xf>
    <xf numFmtId="0" fontId="5" fillId="0" borderId="2" xfId="5" applyFont="1" applyBorder="1" applyAlignment="1">
      <alignment horizontal="center" vertical="center"/>
    </xf>
    <xf numFmtId="0" fontId="5" fillId="0" borderId="19" xfId="5" applyFont="1" applyBorder="1" applyAlignment="1">
      <alignment horizontal="center" vertical="center"/>
    </xf>
    <xf numFmtId="0" fontId="14" fillId="2" borderId="0" xfId="5" applyFont="1" applyFill="1" applyAlignment="1">
      <alignment horizontal="center" vertical="center"/>
    </xf>
    <xf numFmtId="41" fontId="4" fillId="0" borderId="25" xfId="7" applyFont="1" applyBorder="1" applyAlignment="1">
      <alignment horizontal="center" vertical="center" wrapText="1"/>
    </xf>
    <xf numFmtId="41" fontId="4" fillId="0" borderId="26" xfId="7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0" fontId="3" fillId="0" borderId="11" xfId="5" applyFont="1" applyBorder="1" applyAlignment="1">
      <alignment horizontal="center" vertical="center"/>
    </xf>
    <xf numFmtId="0" fontId="3" fillId="0" borderId="14" xfId="5" applyFont="1" applyBorder="1" applyAlignment="1">
      <alignment horizontal="center" vertical="center"/>
    </xf>
    <xf numFmtId="0" fontId="4" fillId="0" borderId="27" xfId="5" applyFont="1" applyBorder="1" applyAlignment="1">
      <alignment horizontal="center" vertical="center"/>
    </xf>
    <xf numFmtId="0" fontId="4" fillId="0" borderId="28" xfId="5" applyFont="1" applyBorder="1" applyAlignment="1">
      <alignment horizontal="center" vertical="center"/>
    </xf>
    <xf numFmtId="0" fontId="4" fillId="0" borderId="25" xfId="5" applyFont="1" applyBorder="1" applyAlignment="1">
      <alignment horizontal="center" vertical="center"/>
    </xf>
    <xf numFmtId="0" fontId="4" fillId="0" borderId="26" xfId="5" applyFont="1" applyBorder="1" applyAlignment="1">
      <alignment horizontal="center" vertical="center"/>
    </xf>
    <xf numFmtId="0" fontId="4" fillId="0" borderId="29" xfId="5" applyFont="1" applyBorder="1" applyAlignment="1">
      <alignment horizontal="center" vertical="center"/>
    </xf>
    <xf numFmtId="0" fontId="4" fillId="0" borderId="30" xfId="5" applyFont="1" applyBorder="1" applyAlignment="1">
      <alignment horizontal="center" vertical="center"/>
    </xf>
    <xf numFmtId="0" fontId="25" fillId="2" borderId="8" xfId="5" applyFont="1" applyFill="1" applyBorder="1" applyAlignment="1">
      <alignment horizontal="center" vertical="center"/>
    </xf>
    <xf numFmtId="0" fontId="25" fillId="2" borderId="31" xfId="5" applyFont="1" applyFill="1" applyBorder="1" applyAlignment="1">
      <alignment horizontal="center" vertical="center"/>
    </xf>
    <xf numFmtId="0" fontId="25" fillId="0" borderId="25" xfId="5" applyFont="1" applyBorder="1" applyAlignment="1">
      <alignment horizontal="center" vertical="center" wrapText="1"/>
    </xf>
    <xf numFmtId="0" fontId="25" fillId="0" borderId="26" xfId="5" applyFont="1" applyBorder="1" applyAlignment="1">
      <alignment horizontal="center" vertical="center" wrapText="1"/>
    </xf>
    <xf numFmtId="0" fontId="25" fillId="0" borderId="32" xfId="5" applyFont="1" applyBorder="1" applyAlignment="1">
      <alignment horizontal="center" vertical="center"/>
    </xf>
    <xf numFmtId="0" fontId="25" fillId="0" borderId="33" xfId="5" applyFont="1" applyBorder="1" applyAlignment="1">
      <alignment horizontal="center" vertical="center"/>
    </xf>
    <xf numFmtId="0" fontId="25" fillId="0" borderId="26" xfId="5" applyFont="1" applyBorder="1" applyAlignment="1">
      <alignment horizontal="center" vertical="center"/>
    </xf>
    <xf numFmtId="41" fontId="25" fillId="0" borderId="28" xfId="7" applyFont="1" applyBorder="1" applyAlignment="1">
      <alignment horizontal="center" vertical="center"/>
    </xf>
    <xf numFmtId="0" fontId="25" fillId="0" borderId="28" xfId="5" applyFont="1" applyBorder="1">
      <alignment vertical="center"/>
    </xf>
    <xf numFmtId="0" fontId="25" fillId="0" borderId="29" xfId="5" applyFont="1" applyBorder="1" applyAlignment="1">
      <alignment horizontal="center" vertical="center"/>
    </xf>
    <xf numFmtId="0" fontId="25" fillId="0" borderId="30" xfId="5" applyFont="1" applyBorder="1" applyAlignment="1">
      <alignment horizontal="center" vertical="center"/>
    </xf>
    <xf numFmtId="0" fontId="25" fillId="2" borderId="14" xfId="5" applyFont="1" applyFill="1" applyBorder="1" applyAlignment="1">
      <alignment horizontal="center" vertical="center"/>
    </xf>
    <xf numFmtId="0" fontId="25" fillId="2" borderId="4" xfId="5" applyFont="1" applyFill="1" applyBorder="1" applyAlignment="1">
      <alignment horizontal="center" vertical="center"/>
    </xf>
    <xf numFmtId="0" fontId="25" fillId="2" borderId="13" xfId="5" applyFont="1" applyFill="1" applyBorder="1" applyAlignment="1">
      <alignment horizontal="center" vertical="center"/>
    </xf>
    <xf numFmtId="0" fontId="25" fillId="2" borderId="12" xfId="5" applyFont="1" applyFill="1" applyBorder="1" applyAlignment="1">
      <alignment horizontal="center" vertical="center"/>
    </xf>
    <xf numFmtId="0" fontId="25" fillId="2" borderId="10" xfId="5" applyFont="1" applyFill="1" applyBorder="1" applyAlignment="1">
      <alignment horizontal="center" vertical="center"/>
    </xf>
    <xf numFmtId="0" fontId="25" fillId="2" borderId="11" xfId="5" applyFont="1" applyFill="1" applyBorder="1" applyAlignment="1">
      <alignment horizontal="center" vertical="center"/>
    </xf>
    <xf numFmtId="0" fontId="25" fillId="0" borderId="13" xfId="5" applyFont="1" applyBorder="1" applyAlignment="1">
      <alignment horizontal="center" vertical="center"/>
    </xf>
    <xf numFmtId="0" fontId="25" fillId="0" borderId="12" xfId="5" applyFont="1" applyBorder="1" applyAlignment="1">
      <alignment horizontal="center" vertical="center"/>
    </xf>
    <xf numFmtId="0" fontId="25" fillId="0" borderId="4" xfId="5" applyFont="1" applyBorder="1" applyAlignment="1">
      <alignment horizontal="center" vertical="center"/>
    </xf>
    <xf numFmtId="41" fontId="16" fillId="0" borderId="13" xfId="2" applyFont="1" applyBorder="1" applyAlignment="1">
      <alignment horizontal="center" vertical="center"/>
    </xf>
    <xf numFmtId="41" fontId="16" fillId="0" borderId="12" xfId="2" applyFont="1" applyBorder="1" applyAlignment="1">
      <alignment horizontal="center" vertical="center"/>
    </xf>
    <xf numFmtId="41" fontId="16" fillId="0" borderId="4" xfId="2" applyFont="1" applyBorder="1" applyAlignment="1">
      <alignment horizontal="center" vertical="center"/>
    </xf>
    <xf numFmtId="41" fontId="4" fillId="0" borderId="34" xfId="2" applyFont="1" applyBorder="1" applyAlignment="1" applyProtection="1">
      <alignment horizontal="center" vertical="center"/>
      <protection locked="0"/>
    </xf>
    <xf numFmtId="41" fontId="4" fillId="0" borderId="35" xfId="2" applyFont="1" applyBorder="1" applyAlignment="1" applyProtection="1">
      <alignment horizontal="center" vertical="center"/>
      <protection locked="0"/>
    </xf>
    <xf numFmtId="41" fontId="4" fillId="0" borderId="36" xfId="2" applyFont="1" applyBorder="1" applyAlignment="1" applyProtection="1">
      <alignment horizontal="center" vertical="center"/>
      <protection locked="0"/>
    </xf>
    <xf numFmtId="41" fontId="4" fillId="0" borderId="19" xfId="2" applyFont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 vertical="center"/>
    </xf>
    <xf numFmtId="41" fontId="17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41" fontId="4" fillId="0" borderId="13" xfId="2" applyFont="1" applyBorder="1" applyAlignment="1" applyProtection="1">
      <alignment horizontal="center" vertical="center"/>
      <protection locked="0"/>
    </xf>
    <xf numFmtId="41" fontId="4" fillId="0" borderId="4" xfId="2" applyFont="1" applyBorder="1" applyAlignment="1" applyProtection="1">
      <alignment horizontal="center" vertical="center"/>
      <protection locked="0"/>
    </xf>
    <xf numFmtId="41" fontId="4" fillId="2" borderId="13" xfId="2" applyFont="1" applyFill="1" applyBorder="1" applyAlignment="1" applyProtection="1">
      <alignment horizontal="center" vertical="center" wrapText="1"/>
      <protection locked="0"/>
    </xf>
    <xf numFmtId="41" fontId="4" fillId="2" borderId="4" xfId="2" applyFont="1" applyFill="1" applyBorder="1" applyAlignment="1" applyProtection="1">
      <alignment horizontal="center" vertical="center" wrapText="1"/>
      <protection locked="0"/>
    </xf>
    <xf numFmtId="41" fontId="4" fillId="0" borderId="22" xfId="2" applyFont="1" applyBorder="1" applyAlignment="1" applyProtection="1">
      <alignment horizontal="center" vertical="center" wrapText="1"/>
      <protection locked="0"/>
    </xf>
    <xf numFmtId="41" fontId="4" fillId="0" borderId="9" xfId="2" applyFont="1" applyBorder="1" applyAlignment="1" applyProtection="1">
      <alignment horizontal="center" vertical="center" wrapText="1"/>
      <protection locked="0"/>
    </xf>
    <xf numFmtId="41" fontId="16" fillId="0" borderId="22" xfId="2" applyFont="1" applyBorder="1" applyAlignment="1">
      <alignment horizontal="center" vertical="center"/>
    </xf>
    <xf numFmtId="41" fontId="16" fillId="0" borderId="37" xfId="2" applyFont="1" applyBorder="1" applyAlignment="1">
      <alignment horizontal="center" vertical="center"/>
    </xf>
    <xf numFmtId="41" fontId="16" fillId="0" borderId="9" xfId="2" applyFont="1" applyBorder="1" applyAlignment="1">
      <alignment horizontal="center" vertical="center"/>
    </xf>
    <xf numFmtId="41" fontId="4" fillId="2" borderId="12" xfId="2" applyFont="1" applyFill="1" applyBorder="1" applyAlignment="1" applyProtection="1">
      <alignment horizontal="center" vertical="center" wrapText="1"/>
      <protection locked="0"/>
    </xf>
    <xf numFmtId="41" fontId="4" fillId="0" borderId="1" xfId="2" applyFont="1" applyBorder="1" applyAlignment="1" applyProtection="1">
      <alignment horizontal="center" vertical="center"/>
      <protection locked="0"/>
    </xf>
    <xf numFmtId="41" fontId="4" fillId="0" borderId="12" xfId="2" applyFont="1" applyBorder="1" applyAlignment="1" applyProtection="1">
      <alignment horizontal="center" vertical="center"/>
      <protection locked="0"/>
    </xf>
    <xf numFmtId="0" fontId="4" fillId="0" borderId="13" xfId="2" applyNumberFormat="1" applyFont="1" applyBorder="1" applyAlignment="1" applyProtection="1">
      <alignment horizontal="center" vertical="center"/>
      <protection locked="0"/>
    </xf>
    <xf numFmtId="0" fontId="4" fillId="0" borderId="4" xfId="2" applyNumberFormat="1" applyFont="1" applyBorder="1" applyAlignment="1" applyProtection="1">
      <alignment horizontal="center" vertical="center"/>
      <protection locked="0"/>
    </xf>
    <xf numFmtId="177" fontId="4" fillId="0" borderId="4" xfId="7" applyNumberFormat="1" applyFont="1" applyBorder="1" applyAlignment="1">
      <alignment horizontal="center" vertical="center"/>
    </xf>
    <xf numFmtId="0" fontId="7" fillId="2" borderId="38" xfId="5" applyFont="1" applyFill="1" applyBorder="1" applyAlignment="1">
      <alignment horizontal="left" vertical="center"/>
    </xf>
    <xf numFmtId="41" fontId="6" fillId="2" borderId="0" xfId="7" applyFont="1" applyFill="1" applyAlignment="1">
      <alignment horizontal="center" vertical="center"/>
    </xf>
    <xf numFmtId="0" fontId="7" fillId="2" borderId="1" xfId="4" applyFont="1" applyFill="1" applyBorder="1" applyAlignment="1">
      <alignment horizontal="right" vertical="center" wrapText="1"/>
    </xf>
    <xf numFmtId="0" fontId="7" fillId="2" borderId="1" xfId="4" applyFont="1" applyFill="1" applyBorder="1" applyAlignment="1">
      <alignment horizontal="right" vertical="center"/>
    </xf>
    <xf numFmtId="0" fontId="7" fillId="4" borderId="1" xfId="4" applyFont="1" applyFill="1" applyBorder="1" applyAlignment="1">
      <alignment horizontal="center" vertical="center"/>
    </xf>
    <xf numFmtId="0" fontId="7" fillId="3" borderId="1" xfId="4" applyFont="1" applyFill="1" applyBorder="1" applyAlignment="1">
      <alignment horizontal="center" vertical="center"/>
    </xf>
    <xf numFmtId="0" fontId="10" fillId="2" borderId="1" xfId="4" applyFont="1" applyFill="1" applyBorder="1" applyAlignment="1">
      <alignment horizontal="center" vertical="center" wrapText="1"/>
    </xf>
    <xf numFmtId="0" fontId="10" fillId="2" borderId="1" xfId="4" applyFont="1" applyFill="1" applyBorder="1" applyAlignment="1">
      <alignment horizontal="center" vertical="center"/>
    </xf>
    <xf numFmtId="0" fontId="7" fillId="5" borderId="1" xfId="4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left" vertical="center" wrapText="1"/>
    </xf>
    <xf numFmtId="0" fontId="9" fillId="2" borderId="1" xfId="5" applyFont="1" applyFill="1" applyBorder="1" applyAlignment="1">
      <alignment horizontal="left" vertical="center"/>
    </xf>
    <xf numFmtId="0" fontId="6" fillId="2" borderId="0" xfId="6" applyFont="1" applyFill="1" applyAlignment="1">
      <alignment horizontal="center" vertical="center"/>
    </xf>
    <xf numFmtId="0" fontId="7" fillId="0" borderId="1" xfId="6" applyFont="1" applyBorder="1" applyAlignment="1">
      <alignment horizontal="center" vertical="center"/>
    </xf>
    <xf numFmtId="0" fontId="7" fillId="2" borderId="1" xfId="6" applyFont="1" applyFill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27" fillId="0" borderId="15" xfId="5" applyFont="1" applyFill="1" applyBorder="1" applyAlignment="1">
      <alignment horizontal="left" vertical="center" wrapText="1"/>
    </xf>
    <xf numFmtId="0" fontId="27" fillId="0" borderId="15" xfId="4" applyFont="1" applyFill="1" applyBorder="1" applyAlignment="1">
      <alignment horizontal="left" vertical="center" wrapText="1"/>
    </xf>
  </cellXfs>
  <cellStyles count="7">
    <cellStyle name="백분율" xfId="1" builtinId="5"/>
    <cellStyle name="쉼표 [0]" xfId="2" builtinId="6"/>
    <cellStyle name="쉼표 [0] 2" xfId="7"/>
    <cellStyle name="표준" xfId="0" builtinId="0"/>
    <cellStyle name="표준 2" xfId="5"/>
    <cellStyle name="표준_Sheet2" xfId="4"/>
    <cellStyle name="표준_Sheet4" xfId="6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685799</xdr:colOff>
      <xdr:row>9</xdr:row>
      <xdr:rowOff>85724</xdr:rowOff>
    </xdr:from>
    <xdr:to>
      <xdr:col>2</xdr:col>
      <xdr:colOff>923925</xdr:colOff>
      <xdr:row>9</xdr:row>
      <xdr:rowOff>361950</xdr:rowOff>
    </xdr:to>
    <xdr:pic>
      <xdr:nvPicPr>
        <xdr:cNvPr id="2" name="object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291416"/>
          <a:ext cx="243416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M30"/>
  <sheetViews>
    <sheetView tabSelected="1" zoomScaleNormal="100" zoomScaleSheetLayoutView="75" workbookViewId="0">
      <selection activeCell="E12" sqref="E12"/>
    </sheetView>
  </sheetViews>
  <sheetFormatPr defaultColWidth="9" defaultRowHeight="13.5" x14ac:dyDescent="0.3"/>
  <cols>
    <col min="1" max="1" width="15.625" style="18" customWidth="1"/>
    <col min="2" max="2" width="15.625" style="42" customWidth="1"/>
    <col min="3" max="3" width="14.375" style="42" customWidth="1"/>
    <col min="4" max="4" width="13.625" style="40" customWidth="1"/>
    <col min="5" max="5" width="14.125" style="40" customWidth="1"/>
    <col min="6" max="7" width="17" style="18" customWidth="1"/>
    <col min="8" max="8" width="42.25" style="18" customWidth="1"/>
    <col min="9" max="247" width="10" style="18" customWidth="1"/>
    <col min="248" max="16384" width="9" style="14"/>
  </cols>
  <sheetData>
    <row r="1" spans="1:8" ht="25.5" x14ac:dyDescent="0.3">
      <c r="A1" s="228" t="s">
        <v>275</v>
      </c>
      <c r="B1" s="228"/>
      <c r="C1" s="228"/>
      <c r="D1" s="228"/>
      <c r="E1" s="228"/>
      <c r="F1" s="228"/>
      <c r="G1" s="228"/>
      <c r="H1" s="228"/>
    </row>
    <row r="2" spans="1:8" ht="15" customHeight="1" x14ac:dyDescent="0.3">
      <c r="A2" s="86"/>
      <c r="B2" s="86"/>
      <c r="C2" s="87"/>
      <c r="D2" s="88"/>
      <c r="E2" s="88"/>
      <c r="F2" s="86"/>
      <c r="G2" s="86"/>
      <c r="H2" s="86"/>
    </row>
    <row r="3" spans="1:8" ht="19.5" thickBot="1" x14ac:dyDescent="0.35">
      <c r="A3" s="111" t="s">
        <v>59</v>
      </c>
      <c r="B3" s="89"/>
      <c r="C3" s="87"/>
      <c r="D3" s="90"/>
      <c r="E3" s="90"/>
      <c r="F3" s="91"/>
      <c r="G3" s="89"/>
      <c r="H3" s="92" t="s">
        <v>9</v>
      </c>
    </row>
    <row r="4" spans="1:8" s="18" customFormat="1" ht="26.1" customHeight="1" x14ac:dyDescent="0.3">
      <c r="A4" s="234" t="s">
        <v>12</v>
      </c>
      <c r="B4" s="235"/>
      <c r="C4" s="235"/>
      <c r="D4" s="229" t="s">
        <v>204</v>
      </c>
      <c r="E4" s="230"/>
      <c r="F4" s="236" t="s">
        <v>111</v>
      </c>
      <c r="G4" s="237"/>
      <c r="H4" s="238" t="s">
        <v>95</v>
      </c>
    </row>
    <row r="5" spans="1:8" s="18" customFormat="1" ht="26.1" customHeight="1" thickBot="1" x14ac:dyDescent="0.35">
      <c r="A5" s="67" t="s">
        <v>134</v>
      </c>
      <c r="B5" s="68" t="s">
        <v>164</v>
      </c>
      <c r="C5" s="68" t="s">
        <v>130</v>
      </c>
      <c r="D5" s="69" t="s">
        <v>205</v>
      </c>
      <c r="E5" s="69" t="s">
        <v>206</v>
      </c>
      <c r="F5" s="70" t="s">
        <v>171</v>
      </c>
      <c r="G5" s="71" t="s">
        <v>122</v>
      </c>
      <c r="H5" s="239"/>
    </row>
    <row r="6" spans="1:8" ht="26.1" customHeight="1" thickTop="1" x14ac:dyDescent="0.3">
      <c r="A6" s="225" t="s">
        <v>18</v>
      </c>
      <c r="B6" s="226"/>
      <c r="C6" s="227"/>
      <c r="D6" s="133">
        <f>D7+D12+D16+D20+D23</f>
        <v>1337698</v>
      </c>
      <c r="E6" s="133">
        <f>E7+E12+E16+E20+E23</f>
        <v>1386239</v>
      </c>
      <c r="F6" s="160">
        <f>E6-D6</f>
        <v>48541</v>
      </c>
      <c r="G6" s="129"/>
      <c r="H6" s="130" t="s">
        <v>272</v>
      </c>
    </row>
    <row r="7" spans="1:8" ht="26.1" customHeight="1" x14ac:dyDescent="0.3">
      <c r="A7" s="72" t="s">
        <v>53</v>
      </c>
      <c r="B7" s="73"/>
      <c r="C7" s="74"/>
      <c r="D7" s="131">
        <f>D8</f>
        <v>1039363</v>
      </c>
      <c r="E7" s="131">
        <f>E8</f>
        <v>1100571</v>
      </c>
      <c r="F7" s="129"/>
      <c r="G7" s="129"/>
      <c r="H7" s="130"/>
    </row>
    <row r="8" spans="1:8" ht="26.1" customHeight="1" x14ac:dyDescent="0.3">
      <c r="A8" s="75"/>
      <c r="B8" s="73" t="s">
        <v>53</v>
      </c>
      <c r="C8" s="74"/>
      <c r="D8" s="131">
        <f>D9+D10</f>
        <v>1039363</v>
      </c>
      <c r="E8" s="131">
        <f>E9+E10</f>
        <v>1100571</v>
      </c>
      <c r="F8" s="129"/>
      <c r="G8" s="129"/>
      <c r="H8" s="130"/>
    </row>
    <row r="9" spans="1:8" ht="68.25" customHeight="1" x14ac:dyDescent="0.3">
      <c r="A9" s="232"/>
      <c r="B9" s="231"/>
      <c r="C9" s="73" t="s">
        <v>37</v>
      </c>
      <c r="D9" s="131">
        <v>1019165</v>
      </c>
      <c r="E9" s="161">
        <v>1068284</v>
      </c>
      <c r="F9" s="160">
        <f>E9-D9</f>
        <v>49119</v>
      </c>
      <c r="G9" s="129"/>
      <c r="H9" s="132" t="s">
        <v>261</v>
      </c>
    </row>
    <row r="10" spans="1:8" ht="154.5" customHeight="1" x14ac:dyDescent="0.3">
      <c r="A10" s="232"/>
      <c r="B10" s="231"/>
      <c r="C10" s="73" t="s">
        <v>29</v>
      </c>
      <c r="D10" s="131">
        <v>20198</v>
      </c>
      <c r="E10" s="161">
        <v>32287</v>
      </c>
      <c r="F10" s="160">
        <f>E10-D10</f>
        <v>12089</v>
      </c>
      <c r="G10" s="129"/>
      <c r="H10" s="132" t="s">
        <v>254</v>
      </c>
    </row>
    <row r="11" spans="1:8" ht="35.25" hidden="1" customHeight="1" x14ac:dyDescent="0.3">
      <c r="A11" s="233"/>
      <c r="B11" s="231"/>
      <c r="C11" s="73" t="s">
        <v>44</v>
      </c>
      <c r="D11" s="116"/>
      <c r="E11" s="116"/>
      <c r="F11" s="162"/>
      <c r="G11" s="129">
        <f t="shared" ref="G11:G17" si="0">D11-E11</f>
        <v>0</v>
      </c>
      <c r="H11" s="163"/>
    </row>
    <row r="12" spans="1:8" ht="26.1" customHeight="1" x14ac:dyDescent="0.3">
      <c r="A12" s="72" t="s">
        <v>39</v>
      </c>
      <c r="B12" s="73"/>
      <c r="C12" s="73"/>
      <c r="D12" s="116">
        <f>D13</f>
        <v>155100</v>
      </c>
      <c r="E12" s="116">
        <f>E13</f>
        <v>155100</v>
      </c>
      <c r="F12" s="162"/>
      <c r="G12" s="129"/>
      <c r="H12" s="164"/>
    </row>
    <row r="13" spans="1:8" ht="26.1" customHeight="1" x14ac:dyDescent="0.3">
      <c r="A13" s="76"/>
      <c r="B13" s="73" t="s">
        <v>39</v>
      </c>
      <c r="C13" s="73"/>
      <c r="D13" s="116">
        <f>D14+D15</f>
        <v>155100</v>
      </c>
      <c r="E13" s="116">
        <f>E14+E15</f>
        <v>155100</v>
      </c>
      <c r="F13" s="162"/>
      <c r="G13" s="129"/>
      <c r="H13" s="164"/>
    </row>
    <row r="14" spans="1:8" ht="51.75" customHeight="1" x14ac:dyDescent="0.3">
      <c r="A14" s="76"/>
      <c r="B14" s="3"/>
      <c r="C14" s="77" t="s">
        <v>16</v>
      </c>
      <c r="D14" s="116">
        <v>93510</v>
      </c>
      <c r="E14" s="116">
        <v>93510</v>
      </c>
      <c r="F14" s="162">
        <f>E14-D14</f>
        <v>0</v>
      </c>
      <c r="G14" s="129"/>
      <c r="H14" s="163" t="s">
        <v>4</v>
      </c>
    </row>
    <row r="15" spans="1:8" ht="32.25" customHeight="1" x14ac:dyDescent="0.3">
      <c r="A15" s="76"/>
      <c r="B15" s="224"/>
      <c r="C15" s="78" t="s">
        <v>20</v>
      </c>
      <c r="D15" s="116">
        <v>61590</v>
      </c>
      <c r="E15" s="116">
        <v>61590</v>
      </c>
      <c r="F15" s="162"/>
      <c r="G15" s="129">
        <f>D15-E15</f>
        <v>0</v>
      </c>
      <c r="H15" s="163"/>
    </row>
    <row r="16" spans="1:8" ht="26.1" customHeight="1" x14ac:dyDescent="0.3">
      <c r="A16" s="72" t="s">
        <v>162</v>
      </c>
      <c r="B16" s="73"/>
      <c r="C16" s="73"/>
      <c r="D16" s="116">
        <f>D17</f>
        <v>3000</v>
      </c>
      <c r="E16" s="116">
        <f>E17</f>
        <v>3000</v>
      </c>
      <c r="F16" s="162"/>
      <c r="G16" s="129">
        <f t="shared" si="0"/>
        <v>0</v>
      </c>
      <c r="H16" s="163"/>
    </row>
    <row r="17" spans="1:8" ht="26.1" customHeight="1" x14ac:dyDescent="0.3">
      <c r="A17" s="221"/>
      <c r="B17" s="73" t="s">
        <v>162</v>
      </c>
      <c r="C17" s="73"/>
      <c r="D17" s="116">
        <f>D18+D19</f>
        <v>3000</v>
      </c>
      <c r="E17" s="116">
        <f>E18+E19</f>
        <v>3000</v>
      </c>
      <c r="F17" s="162"/>
      <c r="G17" s="129">
        <f t="shared" si="0"/>
        <v>0</v>
      </c>
      <c r="H17" s="163"/>
    </row>
    <row r="18" spans="1:8" ht="30.75" customHeight="1" x14ac:dyDescent="0.3">
      <c r="A18" s="222"/>
      <c r="B18" s="3"/>
      <c r="C18" s="73" t="s">
        <v>19</v>
      </c>
      <c r="D18" s="116">
        <v>1000</v>
      </c>
      <c r="E18" s="116">
        <v>1000</v>
      </c>
      <c r="F18" s="162">
        <f>E18-D18</f>
        <v>0</v>
      </c>
      <c r="G18" s="129"/>
      <c r="H18" s="163"/>
    </row>
    <row r="19" spans="1:8" ht="33" customHeight="1" x14ac:dyDescent="0.3">
      <c r="A19" s="223"/>
      <c r="B19" s="220"/>
      <c r="C19" s="80" t="s">
        <v>113</v>
      </c>
      <c r="D19" s="116">
        <v>2000</v>
      </c>
      <c r="E19" s="116">
        <v>2000</v>
      </c>
      <c r="F19" s="160"/>
      <c r="G19" s="129">
        <f>D19-E19</f>
        <v>0</v>
      </c>
      <c r="H19" s="163"/>
    </row>
    <row r="20" spans="1:8" ht="26.1" customHeight="1" x14ac:dyDescent="0.3">
      <c r="A20" s="72" t="s">
        <v>175</v>
      </c>
      <c r="B20" s="73"/>
      <c r="C20" s="73"/>
      <c r="D20" s="116">
        <f>D21</f>
        <v>123820</v>
      </c>
      <c r="E20" s="116">
        <f>E21</f>
        <v>112713</v>
      </c>
      <c r="F20" s="160">
        <v>0</v>
      </c>
      <c r="G20" s="129"/>
      <c r="H20" s="165"/>
    </row>
    <row r="21" spans="1:8" ht="26.1" customHeight="1" x14ac:dyDescent="0.3">
      <c r="A21" s="75"/>
      <c r="B21" s="73" t="s">
        <v>175</v>
      </c>
      <c r="C21" s="73"/>
      <c r="D21" s="116">
        <f>D22</f>
        <v>123820</v>
      </c>
      <c r="E21" s="116">
        <f>E22</f>
        <v>112713</v>
      </c>
      <c r="F21" s="160">
        <v>0</v>
      </c>
      <c r="G21" s="129"/>
      <c r="H21" s="165"/>
    </row>
    <row r="22" spans="1:8" ht="58.5" customHeight="1" x14ac:dyDescent="0.3">
      <c r="A22" s="79"/>
      <c r="B22" s="81"/>
      <c r="C22" s="82" t="s">
        <v>22</v>
      </c>
      <c r="D22" s="116">
        <v>123820</v>
      </c>
      <c r="E22" s="166">
        <v>112713</v>
      </c>
      <c r="F22" s="160"/>
      <c r="G22" s="167">
        <f t="shared" ref="G22:G27" si="1">D22-E22</f>
        <v>11107</v>
      </c>
      <c r="H22" s="130" t="s">
        <v>207</v>
      </c>
    </row>
    <row r="23" spans="1:8" ht="26.1" customHeight="1" x14ac:dyDescent="0.3">
      <c r="A23" s="72" t="s">
        <v>129</v>
      </c>
      <c r="B23" s="73"/>
      <c r="C23" s="73"/>
      <c r="D23" s="116">
        <f>D24</f>
        <v>16415</v>
      </c>
      <c r="E23" s="166">
        <f>E24</f>
        <v>14855</v>
      </c>
      <c r="F23" s="160"/>
      <c r="G23" s="167">
        <f t="shared" si="1"/>
        <v>1560</v>
      </c>
      <c r="H23" s="164"/>
    </row>
    <row r="24" spans="1:8" ht="26.1" customHeight="1" x14ac:dyDescent="0.3">
      <c r="A24" s="76"/>
      <c r="B24" s="73" t="s">
        <v>129</v>
      </c>
      <c r="C24" s="73"/>
      <c r="D24" s="116">
        <f>D25+D26+D27</f>
        <v>16415</v>
      </c>
      <c r="E24" s="166">
        <f>E25+E26+E27</f>
        <v>14855</v>
      </c>
      <c r="F24" s="160"/>
      <c r="G24" s="167">
        <f t="shared" si="1"/>
        <v>1560</v>
      </c>
      <c r="H24" s="164"/>
    </row>
    <row r="25" spans="1:8" ht="33" customHeight="1" x14ac:dyDescent="0.3">
      <c r="A25" s="76"/>
      <c r="B25" s="77"/>
      <c r="C25" s="82" t="s">
        <v>107</v>
      </c>
      <c r="D25" s="116">
        <v>5</v>
      </c>
      <c r="E25" s="116">
        <v>5</v>
      </c>
      <c r="F25" s="160"/>
      <c r="G25" s="129">
        <f t="shared" si="1"/>
        <v>0</v>
      </c>
      <c r="H25" s="164"/>
    </row>
    <row r="26" spans="1:8" ht="78" customHeight="1" x14ac:dyDescent="0.3">
      <c r="A26" s="76"/>
      <c r="B26" s="77"/>
      <c r="C26" s="80" t="s">
        <v>73</v>
      </c>
      <c r="D26" s="116">
        <v>15960</v>
      </c>
      <c r="E26" s="166">
        <f>80*15*12</f>
        <v>14400</v>
      </c>
      <c r="F26" s="160"/>
      <c r="G26" s="167">
        <f t="shared" si="1"/>
        <v>1560</v>
      </c>
      <c r="H26" s="168" t="s">
        <v>250</v>
      </c>
    </row>
    <row r="27" spans="1:8" ht="72.75" customHeight="1" thickBot="1" x14ac:dyDescent="0.35">
      <c r="A27" s="83"/>
      <c r="B27" s="84"/>
      <c r="C27" s="85" t="s">
        <v>8</v>
      </c>
      <c r="D27" s="118">
        <v>450</v>
      </c>
      <c r="E27" s="118">
        <v>450</v>
      </c>
      <c r="F27" s="169"/>
      <c r="G27" s="134">
        <f t="shared" si="1"/>
        <v>0</v>
      </c>
      <c r="H27" s="170" t="s">
        <v>208</v>
      </c>
    </row>
    <row r="30" spans="1:8" x14ac:dyDescent="0.3">
      <c r="H30" s="18" t="s">
        <v>149</v>
      </c>
    </row>
  </sheetData>
  <mergeCells count="11">
    <mergeCell ref="B18:B19"/>
    <mergeCell ref="A17:A1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19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Q62"/>
  <sheetViews>
    <sheetView zoomScale="90" zoomScaleNormal="90" zoomScaleSheetLayoutView="75" workbookViewId="0">
      <selection activeCell="H36" sqref="H36"/>
    </sheetView>
  </sheetViews>
  <sheetFormatPr defaultColWidth="9" defaultRowHeight="13.5" x14ac:dyDescent="0.3"/>
  <cols>
    <col min="1" max="1" width="12.625" style="18" bestFit="1" customWidth="1"/>
    <col min="2" max="2" width="12.625" style="42" bestFit="1" customWidth="1"/>
    <col min="3" max="3" width="18.25" style="42" bestFit="1" customWidth="1"/>
    <col min="4" max="4" width="17" style="18" bestFit="1" customWidth="1"/>
    <col min="5" max="5" width="17" style="18" customWidth="1"/>
    <col min="6" max="6" width="14.75" style="18" bestFit="1" customWidth="1"/>
    <col min="7" max="7" width="13.75" style="18" customWidth="1"/>
    <col min="8" max="8" width="42.625" style="41" customWidth="1"/>
    <col min="9" max="9" width="10" style="18" customWidth="1"/>
    <col min="10" max="10" width="12" style="18" bestFit="1" customWidth="1"/>
    <col min="11" max="251" width="10" style="18" customWidth="1"/>
    <col min="252" max="16384" width="9" style="14"/>
  </cols>
  <sheetData>
    <row r="1" spans="1:10" ht="39" customHeight="1" x14ac:dyDescent="0.3">
      <c r="A1" s="228" t="s">
        <v>275</v>
      </c>
      <c r="B1" s="228"/>
      <c r="C1" s="228"/>
      <c r="D1" s="228"/>
      <c r="E1" s="228"/>
      <c r="F1" s="228"/>
      <c r="G1" s="228"/>
      <c r="H1" s="228"/>
    </row>
    <row r="2" spans="1:10" ht="25.5" x14ac:dyDescent="0.3">
      <c r="A2" s="86"/>
      <c r="B2" s="86"/>
      <c r="C2" s="86"/>
      <c r="D2" s="93"/>
      <c r="E2" s="93"/>
      <c r="F2" s="86"/>
      <c r="G2" s="86"/>
      <c r="H2" s="94"/>
    </row>
    <row r="3" spans="1:10" s="18" customFormat="1" ht="14.25" thickBot="1" x14ac:dyDescent="0.35">
      <c r="A3" s="112" t="s">
        <v>52</v>
      </c>
      <c r="B3" s="87"/>
      <c r="C3" s="87"/>
      <c r="D3" s="96"/>
      <c r="E3" s="96"/>
      <c r="F3" s="96"/>
      <c r="G3" s="95"/>
      <c r="H3" s="97" t="s">
        <v>88</v>
      </c>
    </row>
    <row r="4" spans="1:10" ht="24.95" customHeight="1" x14ac:dyDescent="0.3">
      <c r="A4" s="244" t="s">
        <v>12</v>
      </c>
      <c r="B4" s="245"/>
      <c r="C4" s="246"/>
      <c r="D4" s="242" t="s">
        <v>68</v>
      </c>
      <c r="E4" s="243"/>
      <c r="F4" s="247" t="s">
        <v>118</v>
      </c>
      <c r="G4" s="248"/>
      <c r="H4" s="249" t="s">
        <v>26</v>
      </c>
    </row>
    <row r="5" spans="1:10" ht="24.95" customHeight="1" thickBot="1" x14ac:dyDescent="0.35">
      <c r="A5" s="143" t="s">
        <v>134</v>
      </c>
      <c r="B5" s="144" t="s">
        <v>164</v>
      </c>
      <c r="C5" s="144" t="s">
        <v>130</v>
      </c>
      <c r="D5" s="145" t="s">
        <v>241</v>
      </c>
      <c r="E5" s="145" t="s">
        <v>249</v>
      </c>
      <c r="F5" s="146" t="s">
        <v>171</v>
      </c>
      <c r="G5" s="146" t="s">
        <v>122</v>
      </c>
      <c r="H5" s="250"/>
    </row>
    <row r="6" spans="1:10" ht="27" customHeight="1" thickTop="1" x14ac:dyDescent="0.3">
      <c r="A6" s="251" t="s">
        <v>112</v>
      </c>
      <c r="B6" s="252"/>
      <c r="C6" s="252"/>
      <c r="D6" s="136">
        <f>D7+D25+D30+D56+D59</f>
        <v>1337698</v>
      </c>
      <c r="E6" s="136">
        <f>E7+E25+E30+E56+E59</f>
        <v>1386239</v>
      </c>
      <c r="F6" s="209">
        <f t="shared" ref="F6:F13" si="0">E6-D6</f>
        <v>48541</v>
      </c>
      <c r="G6" s="210"/>
      <c r="H6" s="130" t="s">
        <v>272</v>
      </c>
      <c r="J6" s="99"/>
    </row>
    <row r="7" spans="1:10" ht="24.75" customHeight="1" x14ac:dyDescent="0.3">
      <c r="A7" s="147" t="s">
        <v>133</v>
      </c>
      <c r="B7" s="148"/>
      <c r="C7" s="148"/>
      <c r="D7" s="138">
        <f>D8+D15+D18</f>
        <v>940049</v>
      </c>
      <c r="E7" s="138">
        <f>E8+E15+E18</f>
        <v>970932</v>
      </c>
      <c r="F7" s="209">
        <f t="shared" si="0"/>
        <v>30883</v>
      </c>
      <c r="G7" s="210"/>
      <c r="H7" s="139"/>
    </row>
    <row r="8" spans="1:10" ht="24.75" customHeight="1" x14ac:dyDescent="0.3">
      <c r="A8" s="255"/>
      <c r="B8" s="149" t="s">
        <v>172</v>
      </c>
      <c r="C8" s="149"/>
      <c r="D8" s="138">
        <f>SUM(D9:D14)</f>
        <v>866053</v>
      </c>
      <c r="E8" s="138">
        <f>SUM(E9:E14)</f>
        <v>896437</v>
      </c>
      <c r="F8" s="209">
        <f t="shared" si="0"/>
        <v>30384</v>
      </c>
      <c r="G8" s="210"/>
      <c r="H8" s="139"/>
      <c r="I8" s="65"/>
    </row>
    <row r="9" spans="1:10" ht="48" customHeight="1" x14ac:dyDescent="0.3">
      <c r="A9" s="256"/>
      <c r="B9" s="253"/>
      <c r="C9" s="149" t="s">
        <v>21</v>
      </c>
      <c r="D9" s="140">
        <v>564648</v>
      </c>
      <c r="E9" s="211">
        <v>583104</v>
      </c>
      <c r="F9" s="209">
        <f t="shared" si="0"/>
        <v>18456</v>
      </c>
      <c r="G9" s="210"/>
      <c r="H9" s="212" t="s">
        <v>242</v>
      </c>
    </row>
    <row r="10" spans="1:10" ht="63" customHeight="1" x14ac:dyDescent="0.3">
      <c r="A10" s="256"/>
      <c r="B10" s="254"/>
      <c r="C10" s="149" t="s">
        <v>46</v>
      </c>
      <c r="D10" s="140">
        <v>158157</v>
      </c>
      <c r="E10" s="211">
        <v>164289</v>
      </c>
      <c r="F10" s="209">
        <f t="shared" si="0"/>
        <v>6132</v>
      </c>
      <c r="G10" s="210"/>
      <c r="H10" s="212" t="s">
        <v>243</v>
      </c>
    </row>
    <row r="11" spans="1:10" ht="35.25" customHeight="1" x14ac:dyDescent="0.3">
      <c r="A11" s="256"/>
      <c r="B11" s="254"/>
      <c r="C11" s="149" t="s">
        <v>190</v>
      </c>
      <c r="D11" s="140">
        <v>1500</v>
      </c>
      <c r="E11" s="211">
        <v>1800</v>
      </c>
      <c r="F11" s="209">
        <f t="shared" si="0"/>
        <v>300</v>
      </c>
      <c r="G11" s="210"/>
      <c r="H11" s="212" t="s">
        <v>252</v>
      </c>
    </row>
    <row r="12" spans="1:10" ht="35.25" customHeight="1" x14ac:dyDescent="0.3">
      <c r="A12" s="256"/>
      <c r="B12" s="254"/>
      <c r="C12" s="150" t="s">
        <v>119</v>
      </c>
      <c r="D12" s="140">
        <v>60234</v>
      </c>
      <c r="E12" s="211">
        <v>62283</v>
      </c>
      <c r="F12" s="209">
        <f t="shared" si="0"/>
        <v>2049</v>
      </c>
      <c r="G12" s="210"/>
      <c r="H12" s="212" t="s">
        <v>244</v>
      </c>
    </row>
    <row r="13" spans="1:10" ht="81.75" customHeight="1" x14ac:dyDescent="0.3">
      <c r="A13" s="256"/>
      <c r="B13" s="254"/>
      <c r="C13" s="150" t="s">
        <v>96</v>
      </c>
      <c r="D13" s="140">
        <v>79172</v>
      </c>
      <c r="E13" s="211">
        <v>81954</v>
      </c>
      <c r="F13" s="209">
        <f t="shared" si="0"/>
        <v>2782</v>
      </c>
      <c r="G13" s="210"/>
      <c r="H13" s="212" t="s">
        <v>245</v>
      </c>
    </row>
    <row r="14" spans="1:10" ht="84.75" customHeight="1" x14ac:dyDescent="0.3">
      <c r="A14" s="256"/>
      <c r="B14" s="252"/>
      <c r="C14" s="149" t="s">
        <v>25</v>
      </c>
      <c r="D14" s="140">
        <v>2342</v>
      </c>
      <c r="E14" s="211">
        <v>3007</v>
      </c>
      <c r="F14" s="209">
        <f>E14-D14</f>
        <v>665</v>
      </c>
      <c r="G14" s="210"/>
      <c r="H14" s="141" t="s">
        <v>276</v>
      </c>
    </row>
    <row r="15" spans="1:10" ht="24.75" customHeight="1" x14ac:dyDescent="0.3">
      <c r="A15" s="256"/>
      <c r="B15" s="149" t="s">
        <v>32</v>
      </c>
      <c r="C15" s="149"/>
      <c r="D15" s="138">
        <f>SUM(D16:D17)</f>
        <v>2845</v>
      </c>
      <c r="E15" s="138">
        <f>SUM(E16:E17)</f>
        <v>2845</v>
      </c>
      <c r="F15" s="136"/>
      <c r="G15" s="210">
        <f t="shared" ref="G15:G38" si="1">D15-E15</f>
        <v>0</v>
      </c>
      <c r="H15" s="139"/>
    </row>
    <row r="16" spans="1:10" ht="52.5" customHeight="1" x14ac:dyDescent="0.3">
      <c r="A16" s="256"/>
      <c r="B16" s="253"/>
      <c r="C16" s="149" t="s">
        <v>14</v>
      </c>
      <c r="D16" s="142">
        <v>2815</v>
      </c>
      <c r="E16" s="142">
        <v>2815</v>
      </c>
      <c r="F16" s="136"/>
      <c r="G16" s="210">
        <f t="shared" si="1"/>
        <v>0</v>
      </c>
      <c r="H16" s="141" t="s">
        <v>192</v>
      </c>
    </row>
    <row r="17" spans="1:10" ht="30" customHeight="1" x14ac:dyDescent="0.3">
      <c r="A17" s="256"/>
      <c r="B17" s="252"/>
      <c r="C17" s="149" t="s">
        <v>47</v>
      </c>
      <c r="D17" s="142">
        <v>30</v>
      </c>
      <c r="E17" s="142">
        <v>30</v>
      </c>
      <c r="F17" s="136"/>
      <c r="G17" s="210">
        <f t="shared" si="1"/>
        <v>0</v>
      </c>
      <c r="H17" s="141" t="s">
        <v>253</v>
      </c>
    </row>
    <row r="18" spans="1:10" ht="29.25" customHeight="1" x14ac:dyDescent="0.3">
      <c r="A18" s="256"/>
      <c r="B18" s="149" t="s">
        <v>124</v>
      </c>
      <c r="C18" s="149"/>
      <c r="D18" s="138">
        <f>SUM(D19:D24)</f>
        <v>71151</v>
      </c>
      <c r="E18" s="219">
        <f>SUM(E19:E24)</f>
        <v>71650</v>
      </c>
      <c r="F18" s="209">
        <f>E18-D18</f>
        <v>499</v>
      </c>
      <c r="G18" s="210"/>
      <c r="H18" s="139"/>
    </row>
    <row r="19" spans="1:10" ht="72" customHeight="1" x14ac:dyDescent="0.3">
      <c r="A19" s="256"/>
      <c r="B19" s="253"/>
      <c r="C19" s="149" t="s">
        <v>11</v>
      </c>
      <c r="D19" s="142">
        <v>1790</v>
      </c>
      <c r="E19" s="142">
        <v>1790</v>
      </c>
      <c r="F19" s="209">
        <f>E19-D19</f>
        <v>0</v>
      </c>
      <c r="G19" s="137"/>
      <c r="H19" s="141" t="s">
        <v>189</v>
      </c>
    </row>
    <row r="20" spans="1:10" ht="188.25" customHeight="1" x14ac:dyDescent="0.3">
      <c r="A20" s="256"/>
      <c r="B20" s="254"/>
      <c r="C20" s="150" t="s">
        <v>97</v>
      </c>
      <c r="D20" s="142">
        <v>22640</v>
      </c>
      <c r="E20" s="214">
        <v>23839</v>
      </c>
      <c r="F20" s="209">
        <f>E20-D20</f>
        <v>1199</v>
      </c>
      <c r="G20" s="137"/>
      <c r="H20" s="300" t="s">
        <v>280</v>
      </c>
    </row>
    <row r="21" spans="1:10" ht="126" customHeight="1" x14ac:dyDescent="0.3">
      <c r="A21" s="256"/>
      <c r="B21" s="254"/>
      <c r="C21" s="149" t="s">
        <v>23</v>
      </c>
      <c r="D21" s="142">
        <v>22600</v>
      </c>
      <c r="E21" s="142">
        <v>22600</v>
      </c>
      <c r="F21" s="209">
        <f>E21-D21</f>
        <v>0</v>
      </c>
      <c r="G21" s="137"/>
      <c r="H21" s="141" t="s">
        <v>193</v>
      </c>
    </row>
    <row r="22" spans="1:10" ht="153" customHeight="1" x14ac:dyDescent="0.3">
      <c r="A22" s="256"/>
      <c r="B22" s="254"/>
      <c r="C22" s="149" t="s">
        <v>28</v>
      </c>
      <c r="D22" s="142">
        <v>9770</v>
      </c>
      <c r="E22" s="215">
        <v>9070</v>
      </c>
      <c r="F22" s="209"/>
      <c r="G22" s="210">
        <f>D22-E22</f>
        <v>700</v>
      </c>
      <c r="H22" s="141" t="s">
        <v>273</v>
      </c>
    </row>
    <row r="23" spans="1:10" ht="49.5" customHeight="1" x14ac:dyDescent="0.3">
      <c r="A23" s="256"/>
      <c r="B23" s="254"/>
      <c r="C23" s="149" t="s">
        <v>15</v>
      </c>
      <c r="D23" s="142">
        <v>12860</v>
      </c>
      <c r="E23" s="142">
        <v>12860</v>
      </c>
      <c r="F23" s="136"/>
      <c r="G23" s="137">
        <f t="shared" si="1"/>
        <v>0</v>
      </c>
      <c r="H23" s="141" t="s">
        <v>188</v>
      </c>
    </row>
    <row r="24" spans="1:10" ht="49.5" customHeight="1" x14ac:dyDescent="0.3">
      <c r="A24" s="251"/>
      <c r="B24" s="252"/>
      <c r="C24" s="149" t="s">
        <v>30</v>
      </c>
      <c r="D24" s="142">
        <v>1491</v>
      </c>
      <c r="E24" s="142">
        <v>1491</v>
      </c>
      <c r="F24" s="136"/>
      <c r="G24" s="137"/>
      <c r="H24" s="141" t="s">
        <v>0</v>
      </c>
    </row>
    <row r="25" spans="1:10" ht="24.75" customHeight="1" x14ac:dyDescent="0.3">
      <c r="A25" s="147" t="s">
        <v>49</v>
      </c>
      <c r="B25" s="149"/>
      <c r="C25" s="149"/>
      <c r="D25" s="138">
        <f>SUM(D27:D29)</f>
        <v>40073</v>
      </c>
      <c r="E25" s="138">
        <f>SUM(E27:E29)</f>
        <v>40073</v>
      </c>
      <c r="F25" s="136"/>
      <c r="G25" s="137"/>
      <c r="H25" s="139"/>
    </row>
    <row r="26" spans="1:10" ht="24.75" customHeight="1" x14ac:dyDescent="0.3">
      <c r="A26" s="255"/>
      <c r="B26" s="149" t="s">
        <v>167</v>
      </c>
      <c r="C26" s="149"/>
      <c r="D26" s="138">
        <f>D27+D28+D29</f>
        <v>40073</v>
      </c>
      <c r="E26" s="138">
        <f>E27+E28+E29</f>
        <v>40073</v>
      </c>
      <c r="F26" s="136"/>
      <c r="G26" s="137"/>
      <c r="H26" s="139"/>
    </row>
    <row r="27" spans="1:10" ht="26.25" customHeight="1" x14ac:dyDescent="0.3">
      <c r="A27" s="256"/>
      <c r="B27" s="149"/>
      <c r="C27" s="149" t="s">
        <v>167</v>
      </c>
      <c r="D27" s="142">
        <v>15625</v>
      </c>
      <c r="E27" s="142">
        <v>15625</v>
      </c>
      <c r="F27" s="136"/>
      <c r="G27" s="137">
        <f>D27-E27</f>
        <v>0</v>
      </c>
      <c r="H27" s="141" t="s">
        <v>191</v>
      </c>
    </row>
    <row r="28" spans="1:10" ht="27" customHeight="1" x14ac:dyDescent="0.3">
      <c r="A28" s="256"/>
      <c r="B28" s="149"/>
      <c r="C28" s="149" t="s">
        <v>13</v>
      </c>
      <c r="D28" s="142">
        <v>12415</v>
      </c>
      <c r="E28" s="142">
        <v>12415</v>
      </c>
      <c r="F28" s="209">
        <f>E28-D28</f>
        <v>0</v>
      </c>
      <c r="G28" s="137"/>
      <c r="H28" s="141" t="s">
        <v>76</v>
      </c>
    </row>
    <row r="29" spans="1:10" ht="90" customHeight="1" x14ac:dyDescent="0.3">
      <c r="A29" s="251"/>
      <c r="B29" s="149"/>
      <c r="C29" s="149" t="s">
        <v>7</v>
      </c>
      <c r="D29" s="142">
        <v>12033</v>
      </c>
      <c r="E29" s="142">
        <v>12033</v>
      </c>
      <c r="F29" s="209"/>
      <c r="G29" s="137">
        <f>D29-E29</f>
        <v>0</v>
      </c>
      <c r="H29" s="141" t="s">
        <v>251</v>
      </c>
    </row>
    <row r="30" spans="1:10" ht="24.75" customHeight="1" x14ac:dyDescent="0.3">
      <c r="A30" s="147" t="s">
        <v>125</v>
      </c>
      <c r="B30" s="149"/>
      <c r="C30" s="149"/>
      <c r="D30" s="138">
        <f>D31+D37+D46</f>
        <v>338768</v>
      </c>
      <c r="E30" s="138">
        <f>E31+E37+E46</f>
        <v>356426</v>
      </c>
      <c r="F30" s="209">
        <f>E30-D30</f>
        <v>17658</v>
      </c>
      <c r="G30" s="137"/>
      <c r="H30" s="139"/>
      <c r="J30" s="65"/>
    </row>
    <row r="31" spans="1:10" ht="24.75" customHeight="1" x14ac:dyDescent="0.3">
      <c r="A31" s="255"/>
      <c r="B31" s="149" t="s">
        <v>124</v>
      </c>
      <c r="C31" s="149"/>
      <c r="D31" s="138">
        <f>SUM(D32:D36)</f>
        <v>212420</v>
      </c>
      <c r="E31" s="138">
        <f>SUM(E32:E36)</f>
        <v>236904</v>
      </c>
      <c r="F31" s="209">
        <f>SUM(F32:F36)</f>
        <v>26684</v>
      </c>
      <c r="G31" s="137"/>
      <c r="H31" s="139"/>
    </row>
    <row r="32" spans="1:10" ht="98.25" customHeight="1" x14ac:dyDescent="0.3">
      <c r="A32" s="256"/>
      <c r="B32" s="149"/>
      <c r="C32" s="150" t="s">
        <v>121</v>
      </c>
      <c r="D32" s="151">
        <v>106335</v>
      </c>
      <c r="E32" s="213">
        <v>114797</v>
      </c>
      <c r="F32" s="209">
        <f>E32-D32</f>
        <v>8462</v>
      </c>
      <c r="G32" s="210"/>
      <c r="H32" s="301" t="s">
        <v>277</v>
      </c>
      <c r="I32" s="65"/>
    </row>
    <row r="33" spans="1:251" ht="131.25" customHeight="1" x14ac:dyDescent="0.3">
      <c r="A33" s="256"/>
      <c r="B33" s="153"/>
      <c r="C33" s="150" t="s">
        <v>255</v>
      </c>
      <c r="D33" s="151">
        <v>68003</v>
      </c>
      <c r="E33" s="213">
        <v>81485</v>
      </c>
      <c r="F33" s="209">
        <f>E33-D33</f>
        <v>13482</v>
      </c>
      <c r="G33" s="210"/>
      <c r="H33" s="300" t="s">
        <v>278</v>
      </c>
    </row>
    <row r="34" spans="1:251" ht="50.25" customHeight="1" x14ac:dyDescent="0.3">
      <c r="A34" s="256"/>
      <c r="B34" s="149"/>
      <c r="C34" s="150" t="s">
        <v>43</v>
      </c>
      <c r="D34" s="151">
        <v>18130</v>
      </c>
      <c r="E34" s="213">
        <v>22270</v>
      </c>
      <c r="F34" s="209">
        <f>E34-D34</f>
        <v>4140</v>
      </c>
      <c r="G34" s="137"/>
      <c r="H34" s="152" t="s">
        <v>263</v>
      </c>
    </row>
    <row r="35" spans="1:251" ht="75" customHeight="1" x14ac:dyDescent="0.3">
      <c r="A35" s="256"/>
      <c r="B35" s="153"/>
      <c r="C35" s="149" t="s">
        <v>42</v>
      </c>
      <c r="D35" s="142">
        <v>8000</v>
      </c>
      <c r="E35" s="215">
        <v>5800</v>
      </c>
      <c r="F35" s="209"/>
      <c r="G35" s="210">
        <f>D35-E35</f>
        <v>2200</v>
      </c>
      <c r="H35" s="141" t="s">
        <v>274</v>
      </c>
    </row>
    <row r="36" spans="1:251" ht="75" customHeight="1" x14ac:dyDescent="0.3">
      <c r="A36" s="256"/>
      <c r="B36" s="153"/>
      <c r="C36" s="149" t="s">
        <v>17</v>
      </c>
      <c r="D36" s="142">
        <v>11952</v>
      </c>
      <c r="E36" s="214">
        <v>12552</v>
      </c>
      <c r="F36" s="209">
        <f>E36-D36</f>
        <v>600</v>
      </c>
      <c r="G36" s="210"/>
      <c r="H36" s="301" t="s">
        <v>279</v>
      </c>
    </row>
    <row r="37" spans="1:251" ht="24.75" customHeight="1" x14ac:dyDescent="0.3">
      <c r="A37" s="256"/>
      <c r="B37" s="153" t="s">
        <v>131</v>
      </c>
      <c r="C37" s="149"/>
      <c r="D37" s="154">
        <f>SUM(D38:D45)</f>
        <v>33495</v>
      </c>
      <c r="E37" s="154">
        <f>SUM(E38:E45)</f>
        <v>29027</v>
      </c>
      <c r="F37" s="136"/>
      <c r="G37" s="210">
        <f t="shared" si="1"/>
        <v>4468</v>
      </c>
      <c r="H37" s="139"/>
    </row>
    <row r="38" spans="1:251" ht="44.25" customHeight="1" x14ac:dyDescent="0.3">
      <c r="A38" s="256"/>
      <c r="B38" s="257"/>
      <c r="C38" s="149" t="s">
        <v>6</v>
      </c>
      <c r="D38" s="142">
        <v>1008</v>
      </c>
      <c r="E38" s="142">
        <v>1008</v>
      </c>
      <c r="F38" s="136"/>
      <c r="G38" s="210">
        <f t="shared" si="1"/>
        <v>0</v>
      </c>
      <c r="H38" s="141" t="s">
        <v>187</v>
      </c>
    </row>
    <row r="39" spans="1:251" ht="67.5" customHeight="1" x14ac:dyDescent="0.3">
      <c r="A39" s="256"/>
      <c r="B39" s="258"/>
      <c r="C39" s="150" t="s">
        <v>75</v>
      </c>
      <c r="D39" s="142">
        <v>1850</v>
      </c>
      <c r="E39" s="142">
        <v>1850</v>
      </c>
      <c r="F39" s="136"/>
      <c r="G39" s="210"/>
      <c r="H39" s="141" t="s">
        <v>94</v>
      </c>
    </row>
    <row r="40" spans="1:251" ht="42.75" customHeight="1" x14ac:dyDescent="0.3">
      <c r="A40" s="256"/>
      <c r="B40" s="258"/>
      <c r="C40" s="149" t="s">
        <v>10</v>
      </c>
      <c r="D40" s="142">
        <v>10224</v>
      </c>
      <c r="E40" s="142">
        <v>9616</v>
      </c>
      <c r="F40" s="136"/>
      <c r="G40" s="210">
        <f>D40-E40</f>
        <v>608</v>
      </c>
      <c r="H40" s="141" t="s">
        <v>246</v>
      </c>
    </row>
    <row r="41" spans="1:251" ht="72" customHeight="1" x14ac:dyDescent="0.3">
      <c r="A41" s="256"/>
      <c r="B41" s="258"/>
      <c r="C41" s="149" t="s">
        <v>58</v>
      </c>
      <c r="D41" s="142">
        <v>9200</v>
      </c>
      <c r="E41" s="215">
        <v>8940</v>
      </c>
      <c r="F41" s="136"/>
      <c r="G41" s="210">
        <f>D41-E41</f>
        <v>260</v>
      </c>
      <c r="H41" s="141" t="s">
        <v>266</v>
      </c>
    </row>
    <row r="42" spans="1:251" ht="51.75" customHeight="1" x14ac:dyDescent="0.3">
      <c r="A42" s="256"/>
      <c r="B42" s="258"/>
      <c r="C42" s="149" t="s">
        <v>27</v>
      </c>
      <c r="D42" s="142">
        <v>0</v>
      </c>
      <c r="E42" s="142">
        <v>0</v>
      </c>
      <c r="F42" s="136"/>
      <c r="G42" s="137"/>
      <c r="H42" s="141" t="s">
        <v>93</v>
      </c>
    </row>
    <row r="43" spans="1:251" ht="33.75" customHeight="1" x14ac:dyDescent="0.3">
      <c r="A43" s="256"/>
      <c r="B43" s="258"/>
      <c r="C43" s="149" t="s">
        <v>41</v>
      </c>
      <c r="D43" s="142">
        <v>6600</v>
      </c>
      <c r="E43" s="215">
        <v>3000</v>
      </c>
      <c r="F43" s="217"/>
      <c r="G43" s="210">
        <f>D43-E43</f>
        <v>3600</v>
      </c>
      <c r="H43" s="141" t="s">
        <v>264</v>
      </c>
    </row>
    <row r="44" spans="1:251" ht="45" customHeight="1" x14ac:dyDescent="0.3">
      <c r="A44" s="256"/>
      <c r="B44" s="258"/>
      <c r="C44" s="149" t="s">
        <v>35</v>
      </c>
      <c r="D44" s="142">
        <v>3500</v>
      </c>
      <c r="E44" s="142">
        <v>3500</v>
      </c>
      <c r="F44" s="136"/>
      <c r="G44" s="137"/>
      <c r="H44" s="141" t="s">
        <v>203</v>
      </c>
    </row>
    <row r="45" spans="1:251" ht="30.75" customHeight="1" x14ac:dyDescent="0.3">
      <c r="A45" s="256"/>
      <c r="B45" s="259"/>
      <c r="C45" s="149" t="s">
        <v>55</v>
      </c>
      <c r="D45" s="142">
        <v>1113</v>
      </c>
      <c r="E45" s="142">
        <v>1113</v>
      </c>
      <c r="F45" s="136"/>
      <c r="G45" s="137"/>
      <c r="H45" s="141" t="s">
        <v>1</v>
      </c>
      <c r="IO45" s="14"/>
      <c r="IP45" s="14"/>
      <c r="IQ45" s="14"/>
    </row>
    <row r="46" spans="1:251" ht="24.75" customHeight="1" x14ac:dyDescent="0.3">
      <c r="A46" s="256"/>
      <c r="B46" s="153" t="s">
        <v>125</v>
      </c>
      <c r="C46" s="149" t="s">
        <v>169</v>
      </c>
      <c r="D46" s="154">
        <f>SUM(D47:D55)</f>
        <v>92853</v>
      </c>
      <c r="E46" s="216">
        <f>SUM(E47:E55)</f>
        <v>90495</v>
      </c>
      <c r="F46" s="136"/>
      <c r="G46" s="210">
        <f>D46-E46</f>
        <v>2358</v>
      </c>
      <c r="H46" s="141"/>
      <c r="IO46" s="14"/>
      <c r="IP46" s="14"/>
      <c r="IQ46" s="14"/>
    </row>
    <row r="47" spans="1:251" ht="54" customHeight="1" x14ac:dyDescent="0.3">
      <c r="A47" s="256"/>
      <c r="B47" s="257"/>
      <c r="C47" s="150" t="s">
        <v>110</v>
      </c>
      <c r="D47" s="142">
        <v>4096</v>
      </c>
      <c r="E47" s="215">
        <v>3964</v>
      </c>
      <c r="F47" s="136"/>
      <c r="G47" s="210">
        <f>D47-E47</f>
        <v>132</v>
      </c>
      <c r="H47" s="141" t="s">
        <v>267</v>
      </c>
      <c r="J47" s="65"/>
      <c r="IO47" s="14"/>
      <c r="IP47" s="14"/>
      <c r="IQ47" s="14"/>
    </row>
    <row r="48" spans="1:251" ht="36" customHeight="1" x14ac:dyDescent="0.3">
      <c r="A48" s="256"/>
      <c r="B48" s="258"/>
      <c r="C48" s="150" t="s">
        <v>116</v>
      </c>
      <c r="D48" s="142">
        <v>5040</v>
      </c>
      <c r="E48" s="215">
        <v>4704</v>
      </c>
      <c r="F48" s="217"/>
      <c r="G48" s="210">
        <f>D48-E48</f>
        <v>336</v>
      </c>
      <c r="H48" s="218" t="s">
        <v>268</v>
      </c>
      <c r="J48" s="65"/>
      <c r="IO48" s="14"/>
      <c r="IP48" s="14"/>
      <c r="IQ48" s="14"/>
    </row>
    <row r="49" spans="1:251" ht="42.75" customHeight="1" x14ac:dyDescent="0.3">
      <c r="A49" s="256"/>
      <c r="B49" s="258"/>
      <c r="C49" s="150" t="s">
        <v>120</v>
      </c>
      <c r="D49" s="142">
        <v>1141</v>
      </c>
      <c r="E49" s="142">
        <v>1141</v>
      </c>
      <c r="F49" s="136"/>
      <c r="G49" s="137"/>
      <c r="H49" s="141" t="s">
        <v>178</v>
      </c>
      <c r="J49" s="65"/>
      <c r="IO49" s="14"/>
      <c r="IP49" s="14"/>
      <c r="IQ49" s="14"/>
    </row>
    <row r="50" spans="1:251" ht="51.75" customHeight="1" x14ac:dyDescent="0.3">
      <c r="A50" s="256"/>
      <c r="B50" s="258"/>
      <c r="C50" s="150" t="s">
        <v>115</v>
      </c>
      <c r="D50" s="142">
        <v>1366</v>
      </c>
      <c r="E50" s="142">
        <v>1366</v>
      </c>
      <c r="F50" s="136"/>
      <c r="G50" s="137"/>
      <c r="H50" s="141" t="s">
        <v>2</v>
      </c>
      <c r="J50" s="65"/>
      <c r="IO50" s="14"/>
      <c r="IP50" s="14"/>
      <c r="IQ50" s="14"/>
    </row>
    <row r="51" spans="1:251" ht="36" customHeight="1" x14ac:dyDescent="0.3">
      <c r="A51" s="256"/>
      <c r="B51" s="258"/>
      <c r="C51" s="150" t="s">
        <v>105</v>
      </c>
      <c r="D51" s="142">
        <v>1200</v>
      </c>
      <c r="E51" s="215">
        <v>600</v>
      </c>
      <c r="F51" s="217"/>
      <c r="G51" s="210">
        <f>D51-E51</f>
        <v>600</v>
      </c>
      <c r="H51" s="218" t="s">
        <v>265</v>
      </c>
      <c r="J51" s="65"/>
      <c r="IO51" s="14"/>
      <c r="IP51" s="14"/>
      <c r="IQ51" s="14"/>
    </row>
    <row r="52" spans="1:251" ht="36" customHeight="1" x14ac:dyDescent="0.3">
      <c r="A52" s="256"/>
      <c r="B52" s="258"/>
      <c r="C52" s="150" t="s">
        <v>109</v>
      </c>
      <c r="D52" s="142">
        <v>500</v>
      </c>
      <c r="E52" s="142">
        <v>500</v>
      </c>
      <c r="F52" s="136"/>
      <c r="G52" s="137"/>
      <c r="H52" s="141" t="s">
        <v>179</v>
      </c>
      <c r="J52" s="65"/>
      <c r="IO52" s="14"/>
      <c r="IP52" s="14"/>
      <c r="IQ52" s="14"/>
    </row>
    <row r="53" spans="1:251" ht="36" customHeight="1" x14ac:dyDescent="0.3">
      <c r="A53" s="256"/>
      <c r="B53" s="258"/>
      <c r="C53" s="150" t="s">
        <v>98</v>
      </c>
      <c r="D53" s="142">
        <v>74510</v>
      </c>
      <c r="E53" s="142">
        <v>74510</v>
      </c>
      <c r="F53" s="136"/>
      <c r="G53" s="137"/>
      <c r="H53" s="141" t="s">
        <v>247</v>
      </c>
      <c r="J53" s="65"/>
      <c r="IO53" s="14"/>
      <c r="IP53" s="14"/>
      <c r="IQ53" s="14"/>
    </row>
    <row r="54" spans="1:251" ht="42.75" customHeight="1" x14ac:dyDescent="0.3">
      <c r="A54" s="256"/>
      <c r="B54" s="258"/>
      <c r="C54" s="150" t="s">
        <v>31</v>
      </c>
      <c r="D54" s="142">
        <v>600</v>
      </c>
      <c r="E54" s="142">
        <v>600</v>
      </c>
      <c r="F54" s="136"/>
      <c r="G54" s="137"/>
      <c r="H54" s="141" t="s">
        <v>5</v>
      </c>
      <c r="J54" s="65"/>
      <c r="IO54" s="14"/>
      <c r="IP54" s="14"/>
      <c r="IQ54" s="14"/>
    </row>
    <row r="55" spans="1:251" ht="69.75" customHeight="1" x14ac:dyDescent="0.3">
      <c r="A55" s="251"/>
      <c r="B55" s="259"/>
      <c r="C55" s="150" t="s">
        <v>56</v>
      </c>
      <c r="D55" s="142">
        <v>4400</v>
      </c>
      <c r="E55" s="215">
        <v>3110</v>
      </c>
      <c r="F55" s="136"/>
      <c r="G55" s="137"/>
      <c r="H55" s="141" t="s">
        <v>248</v>
      </c>
      <c r="J55" s="65"/>
      <c r="IO55" s="14"/>
      <c r="IP55" s="14"/>
      <c r="IQ55" s="14"/>
    </row>
    <row r="56" spans="1:251" ht="24.75" customHeight="1" x14ac:dyDescent="0.3">
      <c r="A56" s="147" t="s">
        <v>127</v>
      </c>
      <c r="B56" s="149"/>
      <c r="C56" s="149"/>
      <c r="D56" s="154">
        <f>D57</f>
        <v>3808</v>
      </c>
      <c r="E56" s="154">
        <f>E57</f>
        <v>3808</v>
      </c>
      <c r="F56" s="136"/>
      <c r="G56" s="137"/>
      <c r="H56" s="139"/>
    </row>
    <row r="57" spans="1:251" ht="24.75" customHeight="1" x14ac:dyDescent="0.3">
      <c r="A57" s="240"/>
      <c r="B57" s="149" t="s">
        <v>127</v>
      </c>
      <c r="C57" s="149"/>
      <c r="D57" s="154">
        <f>D58</f>
        <v>3808</v>
      </c>
      <c r="E57" s="154">
        <f>E58</f>
        <v>3808</v>
      </c>
      <c r="F57" s="136"/>
      <c r="G57" s="137"/>
      <c r="H57" s="139"/>
    </row>
    <row r="58" spans="1:251" ht="24.75" customHeight="1" x14ac:dyDescent="0.3">
      <c r="A58" s="240"/>
      <c r="B58" s="149"/>
      <c r="C58" s="149" t="s">
        <v>127</v>
      </c>
      <c r="D58" s="142">
        <v>3808</v>
      </c>
      <c r="E58" s="142">
        <v>3808</v>
      </c>
      <c r="F58" s="136"/>
      <c r="G58" s="137"/>
      <c r="H58" s="139" t="s">
        <v>24</v>
      </c>
    </row>
    <row r="59" spans="1:251" ht="24.75" customHeight="1" x14ac:dyDescent="0.3">
      <c r="A59" s="147" t="s">
        <v>135</v>
      </c>
      <c r="B59" s="149"/>
      <c r="C59" s="149"/>
      <c r="D59" s="154">
        <f>D60</f>
        <v>15000</v>
      </c>
      <c r="E59" s="154">
        <f>E60</f>
        <v>15000</v>
      </c>
      <c r="F59" s="136"/>
      <c r="G59" s="137"/>
      <c r="H59" s="139"/>
    </row>
    <row r="60" spans="1:251" ht="24.75" customHeight="1" x14ac:dyDescent="0.3">
      <c r="A60" s="240"/>
      <c r="B60" s="149" t="s">
        <v>135</v>
      </c>
      <c r="C60" s="149"/>
      <c r="D60" s="154">
        <f>D61</f>
        <v>15000</v>
      </c>
      <c r="E60" s="154">
        <f>E61</f>
        <v>15000</v>
      </c>
      <c r="F60" s="136"/>
      <c r="G60" s="137"/>
      <c r="H60" s="139"/>
    </row>
    <row r="61" spans="1:251" ht="24.75" customHeight="1" thickBot="1" x14ac:dyDescent="0.35">
      <c r="A61" s="241"/>
      <c r="B61" s="155"/>
      <c r="C61" s="155" t="s">
        <v>135</v>
      </c>
      <c r="D61" s="156">
        <v>15000</v>
      </c>
      <c r="E61" s="156">
        <v>15000</v>
      </c>
      <c r="F61" s="135"/>
      <c r="G61" s="158"/>
      <c r="H61" s="157"/>
      <c r="J61" s="110"/>
    </row>
    <row r="62" spans="1:251" ht="26.25" customHeight="1" x14ac:dyDescent="0.3"/>
  </sheetData>
  <mergeCells count="16">
    <mergeCell ref="A57:A58"/>
    <mergeCell ref="A60:A61"/>
    <mergeCell ref="A1:H1"/>
    <mergeCell ref="D4:E4"/>
    <mergeCell ref="A4:C4"/>
    <mergeCell ref="F4:G4"/>
    <mergeCell ref="H4:H5"/>
    <mergeCell ref="A6:C6"/>
    <mergeCell ref="B9:B14"/>
    <mergeCell ref="A8:A24"/>
    <mergeCell ref="A26:A29"/>
    <mergeCell ref="A31:A55"/>
    <mergeCell ref="B16:B17"/>
    <mergeCell ref="B19:B24"/>
    <mergeCell ref="B47:B55"/>
    <mergeCell ref="B38:B45"/>
  </mergeCells>
  <phoneticPr fontId="19" type="noConversion"/>
  <printOptions horizontalCentered="1"/>
  <pageMargins left="0.7086111307144165" right="0.39347222447395325" top="0.74777776002883911" bottom="0.47236111760139465" header="0.31486111879348755" footer="0.31486111879348755"/>
  <pageSetup paperSize="9" scale="83" fitToHeight="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20"/>
  <sheetViews>
    <sheetView zoomScaleNormal="100" zoomScaleSheetLayoutView="75" workbookViewId="0">
      <pane xSplit="3" ySplit="5" topLeftCell="D6" activePane="bottomRight" state="frozen"/>
      <selection pane="topRight"/>
      <selection pane="bottomLeft"/>
      <selection pane="bottomRight" activeCell="E39" sqref="E39"/>
    </sheetView>
  </sheetViews>
  <sheetFormatPr defaultColWidth="8.875" defaultRowHeight="16.5" x14ac:dyDescent="0.3"/>
  <cols>
    <col min="1" max="1" width="6" style="2" customWidth="1"/>
    <col min="2" max="3" width="17.375" style="2" customWidth="1"/>
    <col min="4" max="4" width="6.5" style="2" customWidth="1"/>
    <col min="5" max="5" width="19.375" bestFit="1" customWidth="1"/>
    <col min="6" max="6" width="15.75" bestFit="1" customWidth="1"/>
    <col min="7" max="7" width="15.125" bestFit="1" customWidth="1"/>
    <col min="8" max="8" width="7.75" style="2" customWidth="1"/>
    <col min="9" max="9" width="16" customWidth="1"/>
    <col min="10" max="10" width="14.5" customWidth="1"/>
    <col min="11" max="11" width="15.25" customWidth="1"/>
    <col min="12" max="12" width="18" customWidth="1"/>
    <col min="13" max="13" width="15.875" customWidth="1"/>
    <col min="235" max="235" width="6" customWidth="1"/>
    <col min="236" max="236" width="10" customWidth="1"/>
    <col min="237" max="237" width="17.375" customWidth="1"/>
    <col min="238" max="238" width="6.375" customWidth="1"/>
    <col min="239" max="239" width="6.5" customWidth="1"/>
    <col min="240" max="240" width="6.25" customWidth="1"/>
    <col min="241" max="242" width="17.625" customWidth="1"/>
    <col min="243" max="243" width="17.375" customWidth="1"/>
    <col min="244" max="245" width="16.125" customWidth="1"/>
    <col min="246" max="246" width="13.5" customWidth="1"/>
    <col min="247" max="247" width="15.125" customWidth="1"/>
    <col min="248" max="248" width="7.75" customWidth="1"/>
    <col min="249" max="249" width="16.125" customWidth="1"/>
    <col min="250" max="250" width="16" customWidth="1"/>
    <col min="251" max="251" width="14.25" customWidth="1"/>
    <col min="252" max="252" width="15.5" customWidth="1"/>
    <col min="253" max="253" width="16" customWidth="1"/>
    <col min="254" max="255" width="15.25" customWidth="1"/>
    <col min="256" max="264" width="0" hidden="1" customWidth="1"/>
    <col min="491" max="491" width="6" customWidth="1"/>
    <col min="492" max="492" width="10" customWidth="1"/>
    <col min="493" max="493" width="17.375" customWidth="1"/>
    <col min="494" max="494" width="6.375" customWidth="1"/>
    <col min="495" max="495" width="6.5" customWidth="1"/>
    <col min="496" max="496" width="6.25" customWidth="1"/>
    <col min="497" max="498" width="17.625" customWidth="1"/>
    <col min="499" max="499" width="17.375" customWidth="1"/>
    <col min="500" max="501" width="16.125" customWidth="1"/>
    <col min="502" max="502" width="13.5" customWidth="1"/>
    <col min="503" max="503" width="15.125" customWidth="1"/>
    <col min="504" max="504" width="7.75" customWidth="1"/>
    <col min="505" max="505" width="16.125" customWidth="1"/>
    <col min="506" max="506" width="16" customWidth="1"/>
    <col min="507" max="507" width="14.25" customWidth="1"/>
    <col min="508" max="508" width="15.5" customWidth="1"/>
    <col min="509" max="509" width="16" customWidth="1"/>
    <col min="510" max="511" width="15.25" customWidth="1"/>
    <col min="512" max="520" width="0" hidden="1" customWidth="1"/>
    <col min="747" max="747" width="6" customWidth="1"/>
    <col min="748" max="748" width="10" customWidth="1"/>
    <col min="749" max="749" width="17.375" customWidth="1"/>
    <col min="750" max="750" width="6.375" customWidth="1"/>
    <col min="751" max="751" width="6.5" customWidth="1"/>
    <col min="752" max="752" width="6.25" customWidth="1"/>
    <col min="753" max="754" width="17.625" customWidth="1"/>
    <col min="755" max="755" width="17.375" customWidth="1"/>
    <col min="756" max="757" width="16.125" customWidth="1"/>
    <col min="758" max="758" width="13.5" customWidth="1"/>
    <col min="759" max="759" width="15.125" customWidth="1"/>
    <col min="760" max="760" width="7.75" customWidth="1"/>
    <col min="761" max="761" width="16.125" customWidth="1"/>
    <col min="762" max="762" width="16" customWidth="1"/>
    <col min="763" max="763" width="14.25" customWidth="1"/>
    <col min="764" max="764" width="15.5" customWidth="1"/>
    <col min="765" max="765" width="16" customWidth="1"/>
    <col min="766" max="767" width="15.25" customWidth="1"/>
    <col min="768" max="776" width="0" hidden="1" customWidth="1"/>
    <col min="1003" max="1003" width="6" customWidth="1"/>
    <col min="1004" max="1004" width="10" customWidth="1"/>
    <col min="1005" max="1005" width="17.375" customWidth="1"/>
    <col min="1006" max="1006" width="6.375" customWidth="1"/>
    <col min="1007" max="1007" width="6.5" customWidth="1"/>
    <col min="1008" max="1008" width="6.25" customWidth="1"/>
    <col min="1009" max="1010" width="17.625" customWidth="1"/>
    <col min="1011" max="1011" width="17.375" customWidth="1"/>
    <col min="1012" max="1013" width="16.125" customWidth="1"/>
    <col min="1014" max="1014" width="13.5" customWidth="1"/>
    <col min="1015" max="1015" width="15.125" customWidth="1"/>
    <col min="1016" max="1016" width="7.75" customWidth="1"/>
    <col min="1017" max="1017" width="16.125" customWidth="1"/>
    <col min="1018" max="1018" width="16" customWidth="1"/>
    <col min="1019" max="1019" width="14.25" customWidth="1"/>
    <col min="1020" max="1020" width="15.5" customWidth="1"/>
    <col min="1021" max="1021" width="16" customWidth="1"/>
    <col min="1022" max="1023" width="15.25" customWidth="1"/>
    <col min="1024" max="1032" width="0" hidden="1" customWidth="1"/>
    <col min="1259" max="1259" width="6" customWidth="1"/>
    <col min="1260" max="1260" width="10" customWidth="1"/>
    <col min="1261" max="1261" width="17.375" customWidth="1"/>
    <col min="1262" max="1262" width="6.375" customWidth="1"/>
    <col min="1263" max="1263" width="6.5" customWidth="1"/>
    <col min="1264" max="1264" width="6.25" customWidth="1"/>
    <col min="1265" max="1266" width="17.625" customWidth="1"/>
    <col min="1267" max="1267" width="17.375" customWidth="1"/>
    <col min="1268" max="1269" width="16.125" customWidth="1"/>
    <col min="1270" max="1270" width="13.5" customWidth="1"/>
    <col min="1271" max="1271" width="15.125" customWidth="1"/>
    <col min="1272" max="1272" width="7.75" customWidth="1"/>
    <col min="1273" max="1273" width="16.125" customWidth="1"/>
    <col min="1274" max="1274" width="16" customWidth="1"/>
    <col min="1275" max="1275" width="14.25" customWidth="1"/>
    <col min="1276" max="1276" width="15.5" customWidth="1"/>
    <col min="1277" max="1277" width="16" customWidth="1"/>
    <col min="1278" max="1279" width="15.25" customWidth="1"/>
    <col min="1280" max="1288" width="0" hidden="1" customWidth="1"/>
    <col min="1515" max="1515" width="6" customWidth="1"/>
    <col min="1516" max="1516" width="10" customWidth="1"/>
    <col min="1517" max="1517" width="17.375" customWidth="1"/>
    <col min="1518" max="1518" width="6.375" customWidth="1"/>
    <col min="1519" max="1519" width="6.5" customWidth="1"/>
    <col min="1520" max="1520" width="6.25" customWidth="1"/>
    <col min="1521" max="1522" width="17.625" customWidth="1"/>
    <col min="1523" max="1523" width="17.375" customWidth="1"/>
    <col min="1524" max="1525" width="16.125" customWidth="1"/>
    <col min="1526" max="1526" width="13.5" customWidth="1"/>
    <col min="1527" max="1527" width="15.125" customWidth="1"/>
    <col min="1528" max="1528" width="7.75" customWidth="1"/>
    <col min="1529" max="1529" width="16.125" customWidth="1"/>
    <col min="1530" max="1530" width="16" customWidth="1"/>
    <col min="1531" max="1531" width="14.25" customWidth="1"/>
    <col min="1532" max="1532" width="15.5" customWidth="1"/>
    <col min="1533" max="1533" width="16" customWidth="1"/>
    <col min="1534" max="1535" width="15.25" customWidth="1"/>
    <col min="1536" max="1544" width="0" hidden="1" customWidth="1"/>
    <col min="1771" max="1771" width="6" customWidth="1"/>
    <col min="1772" max="1772" width="10" customWidth="1"/>
    <col min="1773" max="1773" width="17.375" customWidth="1"/>
    <col min="1774" max="1774" width="6.375" customWidth="1"/>
    <col min="1775" max="1775" width="6.5" customWidth="1"/>
    <col min="1776" max="1776" width="6.25" customWidth="1"/>
    <col min="1777" max="1778" width="17.625" customWidth="1"/>
    <col min="1779" max="1779" width="17.375" customWidth="1"/>
    <col min="1780" max="1781" width="16.125" customWidth="1"/>
    <col min="1782" max="1782" width="13.5" customWidth="1"/>
    <col min="1783" max="1783" width="15.125" customWidth="1"/>
    <col min="1784" max="1784" width="7.75" customWidth="1"/>
    <col min="1785" max="1785" width="16.125" customWidth="1"/>
    <col min="1786" max="1786" width="16" customWidth="1"/>
    <col min="1787" max="1787" width="14.25" customWidth="1"/>
    <col min="1788" max="1788" width="15.5" customWidth="1"/>
    <col min="1789" max="1789" width="16" customWidth="1"/>
    <col min="1790" max="1791" width="15.25" customWidth="1"/>
    <col min="1792" max="1800" width="0" hidden="1" customWidth="1"/>
    <col min="2027" max="2027" width="6" customWidth="1"/>
    <col min="2028" max="2028" width="10" customWidth="1"/>
    <col min="2029" max="2029" width="17.375" customWidth="1"/>
    <col min="2030" max="2030" width="6.375" customWidth="1"/>
    <col min="2031" max="2031" width="6.5" customWidth="1"/>
    <col min="2032" max="2032" width="6.25" customWidth="1"/>
    <col min="2033" max="2034" width="17.625" customWidth="1"/>
    <col min="2035" max="2035" width="17.375" customWidth="1"/>
    <col min="2036" max="2037" width="16.125" customWidth="1"/>
    <col min="2038" max="2038" width="13.5" customWidth="1"/>
    <col min="2039" max="2039" width="15.125" customWidth="1"/>
    <col min="2040" max="2040" width="7.75" customWidth="1"/>
    <col min="2041" max="2041" width="16.125" customWidth="1"/>
    <col min="2042" max="2042" width="16" customWidth="1"/>
    <col min="2043" max="2043" width="14.25" customWidth="1"/>
    <col min="2044" max="2044" width="15.5" customWidth="1"/>
    <col min="2045" max="2045" width="16" customWidth="1"/>
    <col min="2046" max="2047" width="15.25" customWidth="1"/>
    <col min="2048" max="2056" width="0" hidden="1" customWidth="1"/>
    <col min="2283" max="2283" width="6" customWidth="1"/>
    <col min="2284" max="2284" width="10" customWidth="1"/>
    <col min="2285" max="2285" width="17.375" customWidth="1"/>
    <col min="2286" max="2286" width="6.375" customWidth="1"/>
    <col min="2287" max="2287" width="6.5" customWidth="1"/>
    <col min="2288" max="2288" width="6.25" customWidth="1"/>
    <col min="2289" max="2290" width="17.625" customWidth="1"/>
    <col min="2291" max="2291" width="17.375" customWidth="1"/>
    <col min="2292" max="2293" width="16.125" customWidth="1"/>
    <col min="2294" max="2294" width="13.5" customWidth="1"/>
    <col min="2295" max="2295" width="15.125" customWidth="1"/>
    <col min="2296" max="2296" width="7.75" customWidth="1"/>
    <col min="2297" max="2297" width="16.125" customWidth="1"/>
    <col min="2298" max="2298" width="16" customWidth="1"/>
    <col min="2299" max="2299" width="14.25" customWidth="1"/>
    <col min="2300" max="2300" width="15.5" customWidth="1"/>
    <col min="2301" max="2301" width="16" customWidth="1"/>
    <col min="2302" max="2303" width="15.25" customWidth="1"/>
    <col min="2304" max="2312" width="0" hidden="1" customWidth="1"/>
    <col min="2539" max="2539" width="6" customWidth="1"/>
    <col min="2540" max="2540" width="10" customWidth="1"/>
    <col min="2541" max="2541" width="17.375" customWidth="1"/>
    <col min="2542" max="2542" width="6.375" customWidth="1"/>
    <col min="2543" max="2543" width="6.5" customWidth="1"/>
    <col min="2544" max="2544" width="6.25" customWidth="1"/>
    <col min="2545" max="2546" width="17.625" customWidth="1"/>
    <col min="2547" max="2547" width="17.375" customWidth="1"/>
    <col min="2548" max="2549" width="16.125" customWidth="1"/>
    <col min="2550" max="2550" width="13.5" customWidth="1"/>
    <col min="2551" max="2551" width="15.125" customWidth="1"/>
    <col min="2552" max="2552" width="7.75" customWidth="1"/>
    <col min="2553" max="2553" width="16.125" customWidth="1"/>
    <col min="2554" max="2554" width="16" customWidth="1"/>
    <col min="2555" max="2555" width="14.25" customWidth="1"/>
    <col min="2556" max="2556" width="15.5" customWidth="1"/>
    <col min="2557" max="2557" width="16" customWidth="1"/>
    <col min="2558" max="2559" width="15.25" customWidth="1"/>
    <col min="2560" max="2568" width="0" hidden="1" customWidth="1"/>
    <col min="2795" max="2795" width="6" customWidth="1"/>
    <col min="2796" max="2796" width="10" customWidth="1"/>
    <col min="2797" max="2797" width="17.375" customWidth="1"/>
    <col min="2798" max="2798" width="6.375" customWidth="1"/>
    <col min="2799" max="2799" width="6.5" customWidth="1"/>
    <col min="2800" max="2800" width="6.25" customWidth="1"/>
    <col min="2801" max="2802" width="17.625" customWidth="1"/>
    <col min="2803" max="2803" width="17.375" customWidth="1"/>
    <col min="2804" max="2805" width="16.125" customWidth="1"/>
    <col min="2806" max="2806" width="13.5" customWidth="1"/>
    <col min="2807" max="2807" width="15.125" customWidth="1"/>
    <col min="2808" max="2808" width="7.75" customWidth="1"/>
    <col min="2809" max="2809" width="16.125" customWidth="1"/>
    <col min="2810" max="2810" width="16" customWidth="1"/>
    <col min="2811" max="2811" width="14.25" customWidth="1"/>
    <col min="2812" max="2812" width="15.5" customWidth="1"/>
    <col min="2813" max="2813" width="16" customWidth="1"/>
    <col min="2814" max="2815" width="15.25" customWidth="1"/>
    <col min="2816" max="2824" width="0" hidden="1" customWidth="1"/>
    <col min="3051" max="3051" width="6" customWidth="1"/>
    <col min="3052" max="3052" width="10" customWidth="1"/>
    <col min="3053" max="3053" width="17.375" customWidth="1"/>
    <col min="3054" max="3054" width="6.375" customWidth="1"/>
    <col min="3055" max="3055" width="6.5" customWidth="1"/>
    <col min="3056" max="3056" width="6.25" customWidth="1"/>
    <col min="3057" max="3058" width="17.625" customWidth="1"/>
    <col min="3059" max="3059" width="17.375" customWidth="1"/>
    <col min="3060" max="3061" width="16.125" customWidth="1"/>
    <col min="3062" max="3062" width="13.5" customWidth="1"/>
    <col min="3063" max="3063" width="15.125" customWidth="1"/>
    <col min="3064" max="3064" width="7.75" customWidth="1"/>
    <col min="3065" max="3065" width="16.125" customWidth="1"/>
    <col min="3066" max="3066" width="16" customWidth="1"/>
    <col min="3067" max="3067" width="14.25" customWidth="1"/>
    <col min="3068" max="3068" width="15.5" customWidth="1"/>
    <col min="3069" max="3069" width="16" customWidth="1"/>
    <col min="3070" max="3071" width="15.25" customWidth="1"/>
    <col min="3072" max="3080" width="0" hidden="1" customWidth="1"/>
    <col min="3307" max="3307" width="6" customWidth="1"/>
    <col min="3308" max="3308" width="10" customWidth="1"/>
    <col min="3309" max="3309" width="17.375" customWidth="1"/>
    <col min="3310" max="3310" width="6.375" customWidth="1"/>
    <col min="3311" max="3311" width="6.5" customWidth="1"/>
    <col min="3312" max="3312" width="6.25" customWidth="1"/>
    <col min="3313" max="3314" width="17.625" customWidth="1"/>
    <col min="3315" max="3315" width="17.375" customWidth="1"/>
    <col min="3316" max="3317" width="16.125" customWidth="1"/>
    <col min="3318" max="3318" width="13.5" customWidth="1"/>
    <col min="3319" max="3319" width="15.125" customWidth="1"/>
    <col min="3320" max="3320" width="7.75" customWidth="1"/>
    <col min="3321" max="3321" width="16.125" customWidth="1"/>
    <col min="3322" max="3322" width="16" customWidth="1"/>
    <col min="3323" max="3323" width="14.25" customWidth="1"/>
    <col min="3324" max="3324" width="15.5" customWidth="1"/>
    <col min="3325" max="3325" width="16" customWidth="1"/>
    <col min="3326" max="3327" width="15.25" customWidth="1"/>
    <col min="3328" max="3336" width="0" hidden="1" customWidth="1"/>
    <col min="3563" max="3563" width="6" customWidth="1"/>
    <col min="3564" max="3564" width="10" customWidth="1"/>
    <col min="3565" max="3565" width="17.375" customWidth="1"/>
    <col min="3566" max="3566" width="6.375" customWidth="1"/>
    <col min="3567" max="3567" width="6.5" customWidth="1"/>
    <col min="3568" max="3568" width="6.25" customWidth="1"/>
    <col min="3569" max="3570" width="17.625" customWidth="1"/>
    <col min="3571" max="3571" width="17.375" customWidth="1"/>
    <col min="3572" max="3573" width="16.125" customWidth="1"/>
    <col min="3574" max="3574" width="13.5" customWidth="1"/>
    <col min="3575" max="3575" width="15.125" customWidth="1"/>
    <col min="3576" max="3576" width="7.75" customWidth="1"/>
    <col min="3577" max="3577" width="16.125" customWidth="1"/>
    <col min="3578" max="3578" width="16" customWidth="1"/>
    <col min="3579" max="3579" width="14.25" customWidth="1"/>
    <col min="3580" max="3580" width="15.5" customWidth="1"/>
    <col min="3581" max="3581" width="16" customWidth="1"/>
    <col min="3582" max="3583" width="15.25" customWidth="1"/>
    <col min="3584" max="3592" width="0" hidden="1" customWidth="1"/>
    <col min="3819" max="3819" width="6" customWidth="1"/>
    <col min="3820" max="3820" width="10" customWidth="1"/>
    <col min="3821" max="3821" width="17.375" customWidth="1"/>
    <col min="3822" max="3822" width="6.375" customWidth="1"/>
    <col min="3823" max="3823" width="6.5" customWidth="1"/>
    <col min="3824" max="3824" width="6.25" customWidth="1"/>
    <col min="3825" max="3826" width="17.625" customWidth="1"/>
    <col min="3827" max="3827" width="17.375" customWidth="1"/>
    <col min="3828" max="3829" width="16.125" customWidth="1"/>
    <col min="3830" max="3830" width="13.5" customWidth="1"/>
    <col min="3831" max="3831" width="15.125" customWidth="1"/>
    <col min="3832" max="3832" width="7.75" customWidth="1"/>
    <col min="3833" max="3833" width="16.125" customWidth="1"/>
    <col min="3834" max="3834" width="16" customWidth="1"/>
    <col min="3835" max="3835" width="14.25" customWidth="1"/>
    <col min="3836" max="3836" width="15.5" customWidth="1"/>
    <col min="3837" max="3837" width="16" customWidth="1"/>
    <col min="3838" max="3839" width="15.25" customWidth="1"/>
    <col min="3840" max="3848" width="0" hidden="1" customWidth="1"/>
    <col min="4075" max="4075" width="6" customWidth="1"/>
    <col min="4076" max="4076" width="10" customWidth="1"/>
    <col min="4077" max="4077" width="17.375" customWidth="1"/>
    <col min="4078" max="4078" width="6.375" customWidth="1"/>
    <col min="4079" max="4079" width="6.5" customWidth="1"/>
    <col min="4080" max="4080" width="6.25" customWidth="1"/>
    <col min="4081" max="4082" width="17.625" customWidth="1"/>
    <col min="4083" max="4083" width="17.375" customWidth="1"/>
    <col min="4084" max="4085" width="16.125" customWidth="1"/>
    <col min="4086" max="4086" width="13.5" customWidth="1"/>
    <col min="4087" max="4087" width="15.125" customWidth="1"/>
    <col min="4088" max="4088" width="7.75" customWidth="1"/>
    <col min="4089" max="4089" width="16.125" customWidth="1"/>
    <col min="4090" max="4090" width="16" customWidth="1"/>
    <col min="4091" max="4091" width="14.25" customWidth="1"/>
    <col min="4092" max="4092" width="15.5" customWidth="1"/>
    <col min="4093" max="4093" width="16" customWidth="1"/>
    <col min="4094" max="4095" width="15.25" customWidth="1"/>
    <col min="4096" max="4104" width="0" hidden="1" customWidth="1"/>
    <col min="4331" max="4331" width="6" customWidth="1"/>
    <col min="4332" max="4332" width="10" customWidth="1"/>
    <col min="4333" max="4333" width="17.375" customWidth="1"/>
    <col min="4334" max="4334" width="6.375" customWidth="1"/>
    <col min="4335" max="4335" width="6.5" customWidth="1"/>
    <col min="4336" max="4336" width="6.25" customWidth="1"/>
    <col min="4337" max="4338" width="17.625" customWidth="1"/>
    <col min="4339" max="4339" width="17.375" customWidth="1"/>
    <col min="4340" max="4341" width="16.125" customWidth="1"/>
    <col min="4342" max="4342" width="13.5" customWidth="1"/>
    <col min="4343" max="4343" width="15.125" customWidth="1"/>
    <col min="4344" max="4344" width="7.75" customWidth="1"/>
    <col min="4345" max="4345" width="16.125" customWidth="1"/>
    <col min="4346" max="4346" width="16" customWidth="1"/>
    <col min="4347" max="4347" width="14.25" customWidth="1"/>
    <col min="4348" max="4348" width="15.5" customWidth="1"/>
    <col min="4349" max="4349" width="16" customWidth="1"/>
    <col min="4350" max="4351" width="15.25" customWidth="1"/>
    <col min="4352" max="4360" width="0" hidden="1" customWidth="1"/>
    <col min="4587" max="4587" width="6" customWidth="1"/>
    <col min="4588" max="4588" width="10" customWidth="1"/>
    <col min="4589" max="4589" width="17.375" customWidth="1"/>
    <col min="4590" max="4590" width="6.375" customWidth="1"/>
    <col min="4591" max="4591" width="6.5" customWidth="1"/>
    <col min="4592" max="4592" width="6.25" customWidth="1"/>
    <col min="4593" max="4594" width="17.625" customWidth="1"/>
    <col min="4595" max="4595" width="17.375" customWidth="1"/>
    <col min="4596" max="4597" width="16.125" customWidth="1"/>
    <col min="4598" max="4598" width="13.5" customWidth="1"/>
    <col min="4599" max="4599" width="15.125" customWidth="1"/>
    <col min="4600" max="4600" width="7.75" customWidth="1"/>
    <col min="4601" max="4601" width="16.125" customWidth="1"/>
    <col min="4602" max="4602" width="16" customWidth="1"/>
    <col min="4603" max="4603" width="14.25" customWidth="1"/>
    <col min="4604" max="4604" width="15.5" customWidth="1"/>
    <col min="4605" max="4605" width="16" customWidth="1"/>
    <col min="4606" max="4607" width="15.25" customWidth="1"/>
    <col min="4608" max="4616" width="0" hidden="1" customWidth="1"/>
    <col min="4843" max="4843" width="6" customWidth="1"/>
    <col min="4844" max="4844" width="10" customWidth="1"/>
    <col min="4845" max="4845" width="17.375" customWidth="1"/>
    <col min="4846" max="4846" width="6.375" customWidth="1"/>
    <col min="4847" max="4847" width="6.5" customWidth="1"/>
    <col min="4848" max="4848" width="6.25" customWidth="1"/>
    <col min="4849" max="4850" width="17.625" customWidth="1"/>
    <col min="4851" max="4851" width="17.375" customWidth="1"/>
    <col min="4852" max="4853" width="16.125" customWidth="1"/>
    <col min="4854" max="4854" width="13.5" customWidth="1"/>
    <col min="4855" max="4855" width="15.125" customWidth="1"/>
    <col min="4856" max="4856" width="7.75" customWidth="1"/>
    <col min="4857" max="4857" width="16.125" customWidth="1"/>
    <col min="4858" max="4858" width="16" customWidth="1"/>
    <col min="4859" max="4859" width="14.25" customWidth="1"/>
    <col min="4860" max="4860" width="15.5" customWidth="1"/>
    <col min="4861" max="4861" width="16" customWidth="1"/>
    <col min="4862" max="4863" width="15.25" customWidth="1"/>
    <col min="4864" max="4872" width="0" hidden="1" customWidth="1"/>
    <col min="5099" max="5099" width="6" customWidth="1"/>
    <col min="5100" max="5100" width="10" customWidth="1"/>
    <col min="5101" max="5101" width="17.375" customWidth="1"/>
    <col min="5102" max="5102" width="6.375" customWidth="1"/>
    <col min="5103" max="5103" width="6.5" customWidth="1"/>
    <col min="5104" max="5104" width="6.25" customWidth="1"/>
    <col min="5105" max="5106" width="17.625" customWidth="1"/>
    <col min="5107" max="5107" width="17.375" customWidth="1"/>
    <col min="5108" max="5109" width="16.125" customWidth="1"/>
    <col min="5110" max="5110" width="13.5" customWidth="1"/>
    <col min="5111" max="5111" width="15.125" customWidth="1"/>
    <col min="5112" max="5112" width="7.75" customWidth="1"/>
    <col min="5113" max="5113" width="16.125" customWidth="1"/>
    <col min="5114" max="5114" width="16" customWidth="1"/>
    <col min="5115" max="5115" width="14.25" customWidth="1"/>
    <col min="5116" max="5116" width="15.5" customWidth="1"/>
    <col min="5117" max="5117" width="16" customWidth="1"/>
    <col min="5118" max="5119" width="15.25" customWidth="1"/>
    <col min="5120" max="5128" width="0" hidden="1" customWidth="1"/>
    <col min="5355" max="5355" width="6" customWidth="1"/>
    <col min="5356" max="5356" width="10" customWidth="1"/>
    <col min="5357" max="5357" width="17.375" customWidth="1"/>
    <col min="5358" max="5358" width="6.375" customWidth="1"/>
    <col min="5359" max="5359" width="6.5" customWidth="1"/>
    <col min="5360" max="5360" width="6.25" customWidth="1"/>
    <col min="5361" max="5362" width="17.625" customWidth="1"/>
    <col min="5363" max="5363" width="17.375" customWidth="1"/>
    <col min="5364" max="5365" width="16.125" customWidth="1"/>
    <col min="5366" max="5366" width="13.5" customWidth="1"/>
    <col min="5367" max="5367" width="15.125" customWidth="1"/>
    <col min="5368" max="5368" width="7.75" customWidth="1"/>
    <col min="5369" max="5369" width="16.125" customWidth="1"/>
    <col min="5370" max="5370" width="16" customWidth="1"/>
    <col min="5371" max="5371" width="14.25" customWidth="1"/>
    <col min="5372" max="5372" width="15.5" customWidth="1"/>
    <col min="5373" max="5373" width="16" customWidth="1"/>
    <col min="5374" max="5375" width="15.25" customWidth="1"/>
    <col min="5376" max="5384" width="0" hidden="1" customWidth="1"/>
    <col min="5611" max="5611" width="6" customWidth="1"/>
    <col min="5612" max="5612" width="10" customWidth="1"/>
    <col min="5613" max="5613" width="17.375" customWidth="1"/>
    <col min="5614" max="5614" width="6.375" customWidth="1"/>
    <col min="5615" max="5615" width="6.5" customWidth="1"/>
    <col min="5616" max="5616" width="6.25" customWidth="1"/>
    <col min="5617" max="5618" width="17.625" customWidth="1"/>
    <col min="5619" max="5619" width="17.375" customWidth="1"/>
    <col min="5620" max="5621" width="16.125" customWidth="1"/>
    <col min="5622" max="5622" width="13.5" customWidth="1"/>
    <col min="5623" max="5623" width="15.125" customWidth="1"/>
    <col min="5624" max="5624" width="7.75" customWidth="1"/>
    <col min="5625" max="5625" width="16.125" customWidth="1"/>
    <col min="5626" max="5626" width="16" customWidth="1"/>
    <col min="5627" max="5627" width="14.25" customWidth="1"/>
    <col min="5628" max="5628" width="15.5" customWidth="1"/>
    <col min="5629" max="5629" width="16" customWidth="1"/>
    <col min="5630" max="5631" width="15.25" customWidth="1"/>
    <col min="5632" max="5640" width="0" hidden="1" customWidth="1"/>
    <col min="5867" max="5867" width="6" customWidth="1"/>
    <col min="5868" max="5868" width="10" customWidth="1"/>
    <col min="5869" max="5869" width="17.375" customWidth="1"/>
    <col min="5870" max="5870" width="6.375" customWidth="1"/>
    <col min="5871" max="5871" width="6.5" customWidth="1"/>
    <col min="5872" max="5872" width="6.25" customWidth="1"/>
    <col min="5873" max="5874" width="17.625" customWidth="1"/>
    <col min="5875" max="5875" width="17.375" customWidth="1"/>
    <col min="5876" max="5877" width="16.125" customWidth="1"/>
    <col min="5878" max="5878" width="13.5" customWidth="1"/>
    <col min="5879" max="5879" width="15.125" customWidth="1"/>
    <col min="5880" max="5880" width="7.75" customWidth="1"/>
    <col min="5881" max="5881" width="16.125" customWidth="1"/>
    <col min="5882" max="5882" width="16" customWidth="1"/>
    <col min="5883" max="5883" width="14.25" customWidth="1"/>
    <col min="5884" max="5884" width="15.5" customWidth="1"/>
    <col min="5885" max="5885" width="16" customWidth="1"/>
    <col min="5886" max="5887" width="15.25" customWidth="1"/>
    <col min="5888" max="5896" width="0" hidden="1" customWidth="1"/>
    <col min="6123" max="6123" width="6" customWidth="1"/>
    <col min="6124" max="6124" width="10" customWidth="1"/>
    <col min="6125" max="6125" width="17.375" customWidth="1"/>
    <col min="6126" max="6126" width="6.375" customWidth="1"/>
    <col min="6127" max="6127" width="6.5" customWidth="1"/>
    <col min="6128" max="6128" width="6.25" customWidth="1"/>
    <col min="6129" max="6130" width="17.625" customWidth="1"/>
    <col min="6131" max="6131" width="17.375" customWidth="1"/>
    <col min="6132" max="6133" width="16.125" customWidth="1"/>
    <col min="6134" max="6134" width="13.5" customWidth="1"/>
    <col min="6135" max="6135" width="15.125" customWidth="1"/>
    <col min="6136" max="6136" width="7.75" customWidth="1"/>
    <col min="6137" max="6137" width="16.125" customWidth="1"/>
    <col min="6138" max="6138" width="16" customWidth="1"/>
    <col min="6139" max="6139" width="14.25" customWidth="1"/>
    <col min="6140" max="6140" width="15.5" customWidth="1"/>
    <col min="6141" max="6141" width="16" customWidth="1"/>
    <col min="6142" max="6143" width="15.25" customWidth="1"/>
    <col min="6144" max="6152" width="0" hidden="1" customWidth="1"/>
    <col min="6379" max="6379" width="6" customWidth="1"/>
    <col min="6380" max="6380" width="10" customWidth="1"/>
    <col min="6381" max="6381" width="17.375" customWidth="1"/>
    <col min="6382" max="6382" width="6.375" customWidth="1"/>
    <col min="6383" max="6383" width="6.5" customWidth="1"/>
    <col min="6384" max="6384" width="6.25" customWidth="1"/>
    <col min="6385" max="6386" width="17.625" customWidth="1"/>
    <col min="6387" max="6387" width="17.375" customWidth="1"/>
    <col min="6388" max="6389" width="16.125" customWidth="1"/>
    <col min="6390" max="6390" width="13.5" customWidth="1"/>
    <col min="6391" max="6391" width="15.125" customWidth="1"/>
    <col min="6392" max="6392" width="7.75" customWidth="1"/>
    <col min="6393" max="6393" width="16.125" customWidth="1"/>
    <col min="6394" max="6394" width="16" customWidth="1"/>
    <col min="6395" max="6395" width="14.25" customWidth="1"/>
    <col min="6396" max="6396" width="15.5" customWidth="1"/>
    <col min="6397" max="6397" width="16" customWidth="1"/>
    <col min="6398" max="6399" width="15.25" customWidth="1"/>
    <col min="6400" max="6408" width="0" hidden="1" customWidth="1"/>
    <col min="6635" max="6635" width="6" customWidth="1"/>
    <col min="6636" max="6636" width="10" customWidth="1"/>
    <col min="6637" max="6637" width="17.375" customWidth="1"/>
    <col min="6638" max="6638" width="6.375" customWidth="1"/>
    <col min="6639" max="6639" width="6.5" customWidth="1"/>
    <col min="6640" max="6640" width="6.25" customWidth="1"/>
    <col min="6641" max="6642" width="17.625" customWidth="1"/>
    <col min="6643" max="6643" width="17.375" customWidth="1"/>
    <col min="6644" max="6645" width="16.125" customWidth="1"/>
    <col min="6646" max="6646" width="13.5" customWidth="1"/>
    <col min="6647" max="6647" width="15.125" customWidth="1"/>
    <col min="6648" max="6648" width="7.75" customWidth="1"/>
    <col min="6649" max="6649" width="16.125" customWidth="1"/>
    <col min="6650" max="6650" width="16" customWidth="1"/>
    <col min="6651" max="6651" width="14.25" customWidth="1"/>
    <col min="6652" max="6652" width="15.5" customWidth="1"/>
    <col min="6653" max="6653" width="16" customWidth="1"/>
    <col min="6654" max="6655" width="15.25" customWidth="1"/>
    <col min="6656" max="6664" width="0" hidden="1" customWidth="1"/>
    <col min="6891" max="6891" width="6" customWidth="1"/>
    <col min="6892" max="6892" width="10" customWidth="1"/>
    <col min="6893" max="6893" width="17.375" customWidth="1"/>
    <col min="6894" max="6894" width="6.375" customWidth="1"/>
    <col min="6895" max="6895" width="6.5" customWidth="1"/>
    <col min="6896" max="6896" width="6.25" customWidth="1"/>
    <col min="6897" max="6898" width="17.625" customWidth="1"/>
    <col min="6899" max="6899" width="17.375" customWidth="1"/>
    <col min="6900" max="6901" width="16.125" customWidth="1"/>
    <col min="6902" max="6902" width="13.5" customWidth="1"/>
    <col min="6903" max="6903" width="15.125" customWidth="1"/>
    <col min="6904" max="6904" width="7.75" customWidth="1"/>
    <col min="6905" max="6905" width="16.125" customWidth="1"/>
    <col min="6906" max="6906" width="16" customWidth="1"/>
    <col min="6907" max="6907" width="14.25" customWidth="1"/>
    <col min="6908" max="6908" width="15.5" customWidth="1"/>
    <col min="6909" max="6909" width="16" customWidth="1"/>
    <col min="6910" max="6911" width="15.25" customWidth="1"/>
    <col min="6912" max="6920" width="0" hidden="1" customWidth="1"/>
    <col min="7147" max="7147" width="6" customWidth="1"/>
    <col min="7148" max="7148" width="10" customWidth="1"/>
    <col min="7149" max="7149" width="17.375" customWidth="1"/>
    <col min="7150" max="7150" width="6.375" customWidth="1"/>
    <col min="7151" max="7151" width="6.5" customWidth="1"/>
    <col min="7152" max="7152" width="6.25" customWidth="1"/>
    <col min="7153" max="7154" width="17.625" customWidth="1"/>
    <col min="7155" max="7155" width="17.375" customWidth="1"/>
    <col min="7156" max="7157" width="16.125" customWidth="1"/>
    <col min="7158" max="7158" width="13.5" customWidth="1"/>
    <col min="7159" max="7159" width="15.125" customWidth="1"/>
    <col min="7160" max="7160" width="7.75" customWidth="1"/>
    <col min="7161" max="7161" width="16.125" customWidth="1"/>
    <col min="7162" max="7162" width="16" customWidth="1"/>
    <col min="7163" max="7163" width="14.25" customWidth="1"/>
    <col min="7164" max="7164" width="15.5" customWidth="1"/>
    <col min="7165" max="7165" width="16" customWidth="1"/>
    <col min="7166" max="7167" width="15.25" customWidth="1"/>
    <col min="7168" max="7176" width="0" hidden="1" customWidth="1"/>
    <col min="7403" max="7403" width="6" customWidth="1"/>
    <col min="7404" max="7404" width="10" customWidth="1"/>
    <col min="7405" max="7405" width="17.375" customWidth="1"/>
    <col min="7406" max="7406" width="6.375" customWidth="1"/>
    <col min="7407" max="7407" width="6.5" customWidth="1"/>
    <col min="7408" max="7408" width="6.25" customWidth="1"/>
    <col min="7409" max="7410" width="17.625" customWidth="1"/>
    <col min="7411" max="7411" width="17.375" customWidth="1"/>
    <col min="7412" max="7413" width="16.125" customWidth="1"/>
    <col min="7414" max="7414" width="13.5" customWidth="1"/>
    <col min="7415" max="7415" width="15.125" customWidth="1"/>
    <col min="7416" max="7416" width="7.75" customWidth="1"/>
    <col min="7417" max="7417" width="16.125" customWidth="1"/>
    <col min="7418" max="7418" width="16" customWidth="1"/>
    <col min="7419" max="7419" width="14.25" customWidth="1"/>
    <col min="7420" max="7420" width="15.5" customWidth="1"/>
    <col min="7421" max="7421" width="16" customWidth="1"/>
    <col min="7422" max="7423" width="15.25" customWidth="1"/>
    <col min="7424" max="7432" width="0" hidden="1" customWidth="1"/>
    <col min="7659" max="7659" width="6" customWidth="1"/>
    <col min="7660" max="7660" width="10" customWidth="1"/>
    <col min="7661" max="7661" width="17.375" customWidth="1"/>
    <col min="7662" max="7662" width="6.375" customWidth="1"/>
    <col min="7663" max="7663" width="6.5" customWidth="1"/>
    <col min="7664" max="7664" width="6.25" customWidth="1"/>
    <col min="7665" max="7666" width="17.625" customWidth="1"/>
    <col min="7667" max="7667" width="17.375" customWidth="1"/>
    <col min="7668" max="7669" width="16.125" customWidth="1"/>
    <col min="7670" max="7670" width="13.5" customWidth="1"/>
    <col min="7671" max="7671" width="15.125" customWidth="1"/>
    <col min="7672" max="7672" width="7.75" customWidth="1"/>
    <col min="7673" max="7673" width="16.125" customWidth="1"/>
    <col min="7674" max="7674" width="16" customWidth="1"/>
    <col min="7675" max="7675" width="14.25" customWidth="1"/>
    <col min="7676" max="7676" width="15.5" customWidth="1"/>
    <col min="7677" max="7677" width="16" customWidth="1"/>
    <col min="7678" max="7679" width="15.25" customWidth="1"/>
    <col min="7680" max="7688" width="0" hidden="1" customWidth="1"/>
    <col min="7915" max="7915" width="6" customWidth="1"/>
    <col min="7916" max="7916" width="10" customWidth="1"/>
    <col min="7917" max="7917" width="17.375" customWidth="1"/>
    <col min="7918" max="7918" width="6.375" customWidth="1"/>
    <col min="7919" max="7919" width="6.5" customWidth="1"/>
    <col min="7920" max="7920" width="6.25" customWidth="1"/>
    <col min="7921" max="7922" width="17.625" customWidth="1"/>
    <col min="7923" max="7923" width="17.375" customWidth="1"/>
    <col min="7924" max="7925" width="16.125" customWidth="1"/>
    <col min="7926" max="7926" width="13.5" customWidth="1"/>
    <col min="7927" max="7927" width="15.125" customWidth="1"/>
    <col min="7928" max="7928" width="7.75" customWidth="1"/>
    <col min="7929" max="7929" width="16.125" customWidth="1"/>
    <col min="7930" max="7930" width="16" customWidth="1"/>
    <col min="7931" max="7931" width="14.25" customWidth="1"/>
    <col min="7932" max="7932" width="15.5" customWidth="1"/>
    <col min="7933" max="7933" width="16" customWidth="1"/>
    <col min="7934" max="7935" width="15.25" customWidth="1"/>
    <col min="7936" max="7944" width="0" hidden="1" customWidth="1"/>
    <col min="8171" max="8171" width="6" customWidth="1"/>
    <col min="8172" max="8172" width="10" customWidth="1"/>
    <col min="8173" max="8173" width="17.375" customWidth="1"/>
    <col min="8174" max="8174" width="6.375" customWidth="1"/>
    <col min="8175" max="8175" width="6.5" customWidth="1"/>
    <col min="8176" max="8176" width="6.25" customWidth="1"/>
    <col min="8177" max="8178" width="17.625" customWidth="1"/>
    <col min="8179" max="8179" width="17.375" customWidth="1"/>
    <col min="8180" max="8181" width="16.125" customWidth="1"/>
    <col min="8182" max="8182" width="13.5" customWidth="1"/>
    <col min="8183" max="8183" width="15.125" customWidth="1"/>
    <col min="8184" max="8184" width="7.75" customWidth="1"/>
    <col min="8185" max="8185" width="16.125" customWidth="1"/>
    <col min="8186" max="8186" width="16" customWidth="1"/>
    <col min="8187" max="8187" width="14.25" customWidth="1"/>
    <col min="8188" max="8188" width="15.5" customWidth="1"/>
    <col min="8189" max="8189" width="16" customWidth="1"/>
    <col min="8190" max="8191" width="15.25" customWidth="1"/>
    <col min="8192" max="8200" width="0" hidden="1" customWidth="1"/>
    <col min="8427" max="8427" width="6" customWidth="1"/>
    <col min="8428" max="8428" width="10" customWidth="1"/>
    <col min="8429" max="8429" width="17.375" customWidth="1"/>
    <col min="8430" max="8430" width="6.375" customWidth="1"/>
    <col min="8431" max="8431" width="6.5" customWidth="1"/>
    <col min="8432" max="8432" width="6.25" customWidth="1"/>
    <col min="8433" max="8434" width="17.625" customWidth="1"/>
    <col min="8435" max="8435" width="17.375" customWidth="1"/>
    <col min="8436" max="8437" width="16.125" customWidth="1"/>
    <col min="8438" max="8438" width="13.5" customWidth="1"/>
    <col min="8439" max="8439" width="15.125" customWidth="1"/>
    <col min="8440" max="8440" width="7.75" customWidth="1"/>
    <col min="8441" max="8441" width="16.125" customWidth="1"/>
    <col min="8442" max="8442" width="16" customWidth="1"/>
    <col min="8443" max="8443" width="14.25" customWidth="1"/>
    <col min="8444" max="8444" width="15.5" customWidth="1"/>
    <col min="8445" max="8445" width="16" customWidth="1"/>
    <col min="8446" max="8447" width="15.25" customWidth="1"/>
    <col min="8448" max="8456" width="0" hidden="1" customWidth="1"/>
    <col min="8683" max="8683" width="6" customWidth="1"/>
    <col min="8684" max="8684" width="10" customWidth="1"/>
    <col min="8685" max="8685" width="17.375" customWidth="1"/>
    <col min="8686" max="8686" width="6.375" customWidth="1"/>
    <col min="8687" max="8687" width="6.5" customWidth="1"/>
    <col min="8688" max="8688" width="6.25" customWidth="1"/>
    <col min="8689" max="8690" width="17.625" customWidth="1"/>
    <col min="8691" max="8691" width="17.375" customWidth="1"/>
    <col min="8692" max="8693" width="16.125" customWidth="1"/>
    <col min="8694" max="8694" width="13.5" customWidth="1"/>
    <col min="8695" max="8695" width="15.125" customWidth="1"/>
    <col min="8696" max="8696" width="7.75" customWidth="1"/>
    <col min="8697" max="8697" width="16.125" customWidth="1"/>
    <col min="8698" max="8698" width="16" customWidth="1"/>
    <col min="8699" max="8699" width="14.25" customWidth="1"/>
    <col min="8700" max="8700" width="15.5" customWidth="1"/>
    <col min="8701" max="8701" width="16" customWidth="1"/>
    <col min="8702" max="8703" width="15.25" customWidth="1"/>
    <col min="8704" max="8712" width="0" hidden="1" customWidth="1"/>
    <col min="8939" max="8939" width="6" customWidth="1"/>
    <col min="8940" max="8940" width="10" customWidth="1"/>
    <col min="8941" max="8941" width="17.375" customWidth="1"/>
    <col min="8942" max="8942" width="6.375" customWidth="1"/>
    <col min="8943" max="8943" width="6.5" customWidth="1"/>
    <col min="8944" max="8944" width="6.25" customWidth="1"/>
    <col min="8945" max="8946" width="17.625" customWidth="1"/>
    <col min="8947" max="8947" width="17.375" customWidth="1"/>
    <col min="8948" max="8949" width="16.125" customWidth="1"/>
    <col min="8950" max="8950" width="13.5" customWidth="1"/>
    <col min="8951" max="8951" width="15.125" customWidth="1"/>
    <col min="8952" max="8952" width="7.75" customWidth="1"/>
    <col min="8953" max="8953" width="16.125" customWidth="1"/>
    <col min="8954" max="8954" width="16" customWidth="1"/>
    <col min="8955" max="8955" width="14.25" customWidth="1"/>
    <col min="8956" max="8956" width="15.5" customWidth="1"/>
    <col min="8957" max="8957" width="16" customWidth="1"/>
    <col min="8958" max="8959" width="15.25" customWidth="1"/>
    <col min="8960" max="8968" width="0" hidden="1" customWidth="1"/>
    <col min="9195" max="9195" width="6" customWidth="1"/>
    <col min="9196" max="9196" width="10" customWidth="1"/>
    <col min="9197" max="9197" width="17.375" customWidth="1"/>
    <col min="9198" max="9198" width="6.375" customWidth="1"/>
    <col min="9199" max="9199" width="6.5" customWidth="1"/>
    <col min="9200" max="9200" width="6.25" customWidth="1"/>
    <col min="9201" max="9202" width="17.625" customWidth="1"/>
    <col min="9203" max="9203" width="17.375" customWidth="1"/>
    <col min="9204" max="9205" width="16.125" customWidth="1"/>
    <col min="9206" max="9206" width="13.5" customWidth="1"/>
    <col min="9207" max="9207" width="15.125" customWidth="1"/>
    <col min="9208" max="9208" width="7.75" customWidth="1"/>
    <col min="9209" max="9209" width="16.125" customWidth="1"/>
    <col min="9210" max="9210" width="16" customWidth="1"/>
    <col min="9211" max="9211" width="14.25" customWidth="1"/>
    <col min="9212" max="9212" width="15.5" customWidth="1"/>
    <col min="9213" max="9213" width="16" customWidth="1"/>
    <col min="9214" max="9215" width="15.25" customWidth="1"/>
    <col min="9216" max="9224" width="0" hidden="1" customWidth="1"/>
    <col min="9451" max="9451" width="6" customWidth="1"/>
    <col min="9452" max="9452" width="10" customWidth="1"/>
    <col min="9453" max="9453" width="17.375" customWidth="1"/>
    <col min="9454" max="9454" width="6.375" customWidth="1"/>
    <col min="9455" max="9455" width="6.5" customWidth="1"/>
    <col min="9456" max="9456" width="6.25" customWidth="1"/>
    <col min="9457" max="9458" width="17.625" customWidth="1"/>
    <col min="9459" max="9459" width="17.375" customWidth="1"/>
    <col min="9460" max="9461" width="16.125" customWidth="1"/>
    <col min="9462" max="9462" width="13.5" customWidth="1"/>
    <col min="9463" max="9463" width="15.125" customWidth="1"/>
    <col min="9464" max="9464" width="7.75" customWidth="1"/>
    <col min="9465" max="9465" width="16.125" customWidth="1"/>
    <col min="9466" max="9466" width="16" customWidth="1"/>
    <col min="9467" max="9467" width="14.25" customWidth="1"/>
    <col min="9468" max="9468" width="15.5" customWidth="1"/>
    <col min="9469" max="9469" width="16" customWidth="1"/>
    <col min="9470" max="9471" width="15.25" customWidth="1"/>
    <col min="9472" max="9480" width="0" hidden="1" customWidth="1"/>
    <col min="9707" max="9707" width="6" customWidth="1"/>
    <col min="9708" max="9708" width="10" customWidth="1"/>
    <col min="9709" max="9709" width="17.375" customWidth="1"/>
    <col min="9710" max="9710" width="6.375" customWidth="1"/>
    <col min="9711" max="9711" width="6.5" customWidth="1"/>
    <col min="9712" max="9712" width="6.25" customWidth="1"/>
    <col min="9713" max="9714" width="17.625" customWidth="1"/>
    <col min="9715" max="9715" width="17.375" customWidth="1"/>
    <col min="9716" max="9717" width="16.125" customWidth="1"/>
    <col min="9718" max="9718" width="13.5" customWidth="1"/>
    <col min="9719" max="9719" width="15.125" customWidth="1"/>
    <col min="9720" max="9720" width="7.75" customWidth="1"/>
    <col min="9721" max="9721" width="16.125" customWidth="1"/>
    <col min="9722" max="9722" width="16" customWidth="1"/>
    <col min="9723" max="9723" width="14.25" customWidth="1"/>
    <col min="9724" max="9724" width="15.5" customWidth="1"/>
    <col min="9725" max="9725" width="16" customWidth="1"/>
    <col min="9726" max="9727" width="15.25" customWidth="1"/>
    <col min="9728" max="9736" width="0" hidden="1" customWidth="1"/>
    <col min="9963" max="9963" width="6" customWidth="1"/>
    <col min="9964" max="9964" width="10" customWidth="1"/>
    <col min="9965" max="9965" width="17.375" customWidth="1"/>
    <col min="9966" max="9966" width="6.375" customWidth="1"/>
    <col min="9967" max="9967" width="6.5" customWidth="1"/>
    <col min="9968" max="9968" width="6.25" customWidth="1"/>
    <col min="9969" max="9970" width="17.625" customWidth="1"/>
    <col min="9971" max="9971" width="17.375" customWidth="1"/>
    <col min="9972" max="9973" width="16.125" customWidth="1"/>
    <col min="9974" max="9974" width="13.5" customWidth="1"/>
    <col min="9975" max="9975" width="15.125" customWidth="1"/>
    <col min="9976" max="9976" width="7.75" customWidth="1"/>
    <col min="9977" max="9977" width="16.125" customWidth="1"/>
    <col min="9978" max="9978" width="16" customWidth="1"/>
    <col min="9979" max="9979" width="14.25" customWidth="1"/>
    <col min="9980" max="9980" width="15.5" customWidth="1"/>
    <col min="9981" max="9981" width="16" customWidth="1"/>
    <col min="9982" max="9983" width="15.25" customWidth="1"/>
    <col min="9984" max="9992" width="0" hidden="1" customWidth="1"/>
    <col min="10219" max="10219" width="6" customWidth="1"/>
    <col min="10220" max="10220" width="10" customWidth="1"/>
    <col min="10221" max="10221" width="17.375" customWidth="1"/>
    <col min="10222" max="10222" width="6.375" customWidth="1"/>
    <col min="10223" max="10223" width="6.5" customWidth="1"/>
    <col min="10224" max="10224" width="6.25" customWidth="1"/>
    <col min="10225" max="10226" width="17.625" customWidth="1"/>
    <col min="10227" max="10227" width="17.375" customWidth="1"/>
    <col min="10228" max="10229" width="16.125" customWidth="1"/>
    <col min="10230" max="10230" width="13.5" customWidth="1"/>
    <col min="10231" max="10231" width="15.125" customWidth="1"/>
    <col min="10232" max="10232" width="7.75" customWidth="1"/>
    <col min="10233" max="10233" width="16.125" customWidth="1"/>
    <col min="10234" max="10234" width="16" customWidth="1"/>
    <col min="10235" max="10235" width="14.25" customWidth="1"/>
    <col min="10236" max="10236" width="15.5" customWidth="1"/>
    <col min="10237" max="10237" width="16" customWidth="1"/>
    <col min="10238" max="10239" width="15.25" customWidth="1"/>
    <col min="10240" max="10248" width="0" hidden="1" customWidth="1"/>
    <col min="10475" max="10475" width="6" customWidth="1"/>
    <col min="10476" max="10476" width="10" customWidth="1"/>
    <col min="10477" max="10477" width="17.375" customWidth="1"/>
    <col min="10478" max="10478" width="6.375" customWidth="1"/>
    <col min="10479" max="10479" width="6.5" customWidth="1"/>
    <col min="10480" max="10480" width="6.25" customWidth="1"/>
    <col min="10481" max="10482" width="17.625" customWidth="1"/>
    <col min="10483" max="10483" width="17.375" customWidth="1"/>
    <col min="10484" max="10485" width="16.125" customWidth="1"/>
    <col min="10486" max="10486" width="13.5" customWidth="1"/>
    <col min="10487" max="10487" width="15.125" customWidth="1"/>
    <col min="10488" max="10488" width="7.75" customWidth="1"/>
    <col min="10489" max="10489" width="16.125" customWidth="1"/>
    <col min="10490" max="10490" width="16" customWidth="1"/>
    <col min="10491" max="10491" width="14.25" customWidth="1"/>
    <col min="10492" max="10492" width="15.5" customWidth="1"/>
    <col min="10493" max="10493" width="16" customWidth="1"/>
    <col min="10494" max="10495" width="15.25" customWidth="1"/>
    <col min="10496" max="10504" width="0" hidden="1" customWidth="1"/>
    <col min="10731" max="10731" width="6" customWidth="1"/>
    <col min="10732" max="10732" width="10" customWidth="1"/>
    <col min="10733" max="10733" width="17.375" customWidth="1"/>
    <col min="10734" max="10734" width="6.375" customWidth="1"/>
    <col min="10735" max="10735" width="6.5" customWidth="1"/>
    <col min="10736" max="10736" width="6.25" customWidth="1"/>
    <col min="10737" max="10738" width="17.625" customWidth="1"/>
    <col min="10739" max="10739" width="17.375" customWidth="1"/>
    <col min="10740" max="10741" width="16.125" customWidth="1"/>
    <col min="10742" max="10742" width="13.5" customWidth="1"/>
    <col min="10743" max="10743" width="15.125" customWidth="1"/>
    <col min="10744" max="10744" width="7.75" customWidth="1"/>
    <col min="10745" max="10745" width="16.125" customWidth="1"/>
    <col min="10746" max="10746" width="16" customWidth="1"/>
    <col min="10747" max="10747" width="14.25" customWidth="1"/>
    <col min="10748" max="10748" width="15.5" customWidth="1"/>
    <col min="10749" max="10749" width="16" customWidth="1"/>
    <col min="10750" max="10751" width="15.25" customWidth="1"/>
    <col min="10752" max="10760" width="0" hidden="1" customWidth="1"/>
    <col min="10987" max="10987" width="6" customWidth="1"/>
    <col min="10988" max="10988" width="10" customWidth="1"/>
    <col min="10989" max="10989" width="17.375" customWidth="1"/>
    <col min="10990" max="10990" width="6.375" customWidth="1"/>
    <col min="10991" max="10991" width="6.5" customWidth="1"/>
    <col min="10992" max="10992" width="6.25" customWidth="1"/>
    <col min="10993" max="10994" width="17.625" customWidth="1"/>
    <col min="10995" max="10995" width="17.375" customWidth="1"/>
    <col min="10996" max="10997" width="16.125" customWidth="1"/>
    <col min="10998" max="10998" width="13.5" customWidth="1"/>
    <col min="10999" max="10999" width="15.125" customWidth="1"/>
    <col min="11000" max="11000" width="7.75" customWidth="1"/>
    <col min="11001" max="11001" width="16.125" customWidth="1"/>
    <col min="11002" max="11002" width="16" customWidth="1"/>
    <col min="11003" max="11003" width="14.25" customWidth="1"/>
    <col min="11004" max="11004" width="15.5" customWidth="1"/>
    <col min="11005" max="11005" width="16" customWidth="1"/>
    <col min="11006" max="11007" width="15.25" customWidth="1"/>
    <col min="11008" max="11016" width="0" hidden="1" customWidth="1"/>
    <col min="11243" max="11243" width="6" customWidth="1"/>
    <col min="11244" max="11244" width="10" customWidth="1"/>
    <col min="11245" max="11245" width="17.375" customWidth="1"/>
    <col min="11246" max="11246" width="6.375" customWidth="1"/>
    <col min="11247" max="11247" width="6.5" customWidth="1"/>
    <col min="11248" max="11248" width="6.25" customWidth="1"/>
    <col min="11249" max="11250" width="17.625" customWidth="1"/>
    <col min="11251" max="11251" width="17.375" customWidth="1"/>
    <col min="11252" max="11253" width="16.125" customWidth="1"/>
    <col min="11254" max="11254" width="13.5" customWidth="1"/>
    <col min="11255" max="11255" width="15.125" customWidth="1"/>
    <col min="11256" max="11256" width="7.75" customWidth="1"/>
    <col min="11257" max="11257" width="16.125" customWidth="1"/>
    <col min="11258" max="11258" width="16" customWidth="1"/>
    <col min="11259" max="11259" width="14.25" customWidth="1"/>
    <col min="11260" max="11260" width="15.5" customWidth="1"/>
    <col min="11261" max="11261" width="16" customWidth="1"/>
    <col min="11262" max="11263" width="15.25" customWidth="1"/>
    <col min="11264" max="11272" width="0" hidden="1" customWidth="1"/>
    <col min="11499" max="11499" width="6" customWidth="1"/>
    <col min="11500" max="11500" width="10" customWidth="1"/>
    <col min="11501" max="11501" width="17.375" customWidth="1"/>
    <col min="11502" max="11502" width="6.375" customWidth="1"/>
    <col min="11503" max="11503" width="6.5" customWidth="1"/>
    <col min="11504" max="11504" width="6.25" customWidth="1"/>
    <col min="11505" max="11506" width="17.625" customWidth="1"/>
    <col min="11507" max="11507" width="17.375" customWidth="1"/>
    <col min="11508" max="11509" width="16.125" customWidth="1"/>
    <col min="11510" max="11510" width="13.5" customWidth="1"/>
    <col min="11511" max="11511" width="15.125" customWidth="1"/>
    <col min="11512" max="11512" width="7.75" customWidth="1"/>
    <col min="11513" max="11513" width="16.125" customWidth="1"/>
    <col min="11514" max="11514" width="16" customWidth="1"/>
    <col min="11515" max="11515" width="14.25" customWidth="1"/>
    <col min="11516" max="11516" width="15.5" customWidth="1"/>
    <col min="11517" max="11517" width="16" customWidth="1"/>
    <col min="11518" max="11519" width="15.25" customWidth="1"/>
    <col min="11520" max="11528" width="0" hidden="1" customWidth="1"/>
    <col min="11755" max="11755" width="6" customWidth="1"/>
    <col min="11756" max="11756" width="10" customWidth="1"/>
    <col min="11757" max="11757" width="17.375" customWidth="1"/>
    <col min="11758" max="11758" width="6.375" customWidth="1"/>
    <col min="11759" max="11759" width="6.5" customWidth="1"/>
    <col min="11760" max="11760" width="6.25" customWidth="1"/>
    <col min="11761" max="11762" width="17.625" customWidth="1"/>
    <col min="11763" max="11763" width="17.375" customWidth="1"/>
    <col min="11764" max="11765" width="16.125" customWidth="1"/>
    <col min="11766" max="11766" width="13.5" customWidth="1"/>
    <col min="11767" max="11767" width="15.125" customWidth="1"/>
    <col min="11768" max="11768" width="7.75" customWidth="1"/>
    <col min="11769" max="11769" width="16.125" customWidth="1"/>
    <col min="11770" max="11770" width="16" customWidth="1"/>
    <col min="11771" max="11771" width="14.25" customWidth="1"/>
    <col min="11772" max="11772" width="15.5" customWidth="1"/>
    <col min="11773" max="11773" width="16" customWidth="1"/>
    <col min="11774" max="11775" width="15.25" customWidth="1"/>
    <col min="11776" max="11784" width="0" hidden="1" customWidth="1"/>
    <col min="12011" max="12011" width="6" customWidth="1"/>
    <col min="12012" max="12012" width="10" customWidth="1"/>
    <col min="12013" max="12013" width="17.375" customWidth="1"/>
    <col min="12014" max="12014" width="6.375" customWidth="1"/>
    <col min="12015" max="12015" width="6.5" customWidth="1"/>
    <col min="12016" max="12016" width="6.25" customWidth="1"/>
    <col min="12017" max="12018" width="17.625" customWidth="1"/>
    <col min="12019" max="12019" width="17.375" customWidth="1"/>
    <col min="12020" max="12021" width="16.125" customWidth="1"/>
    <col min="12022" max="12022" width="13.5" customWidth="1"/>
    <col min="12023" max="12023" width="15.125" customWidth="1"/>
    <col min="12024" max="12024" width="7.75" customWidth="1"/>
    <col min="12025" max="12025" width="16.125" customWidth="1"/>
    <col min="12026" max="12026" width="16" customWidth="1"/>
    <col min="12027" max="12027" width="14.25" customWidth="1"/>
    <col min="12028" max="12028" width="15.5" customWidth="1"/>
    <col min="12029" max="12029" width="16" customWidth="1"/>
    <col min="12030" max="12031" width="15.25" customWidth="1"/>
    <col min="12032" max="12040" width="0" hidden="1" customWidth="1"/>
    <col min="12267" max="12267" width="6" customWidth="1"/>
    <col min="12268" max="12268" width="10" customWidth="1"/>
    <col min="12269" max="12269" width="17.375" customWidth="1"/>
    <col min="12270" max="12270" width="6.375" customWidth="1"/>
    <col min="12271" max="12271" width="6.5" customWidth="1"/>
    <col min="12272" max="12272" width="6.25" customWidth="1"/>
    <col min="12273" max="12274" width="17.625" customWidth="1"/>
    <col min="12275" max="12275" width="17.375" customWidth="1"/>
    <col min="12276" max="12277" width="16.125" customWidth="1"/>
    <col min="12278" max="12278" width="13.5" customWidth="1"/>
    <col min="12279" max="12279" width="15.125" customWidth="1"/>
    <col min="12280" max="12280" width="7.75" customWidth="1"/>
    <col min="12281" max="12281" width="16.125" customWidth="1"/>
    <col min="12282" max="12282" width="16" customWidth="1"/>
    <col min="12283" max="12283" width="14.25" customWidth="1"/>
    <col min="12284" max="12284" width="15.5" customWidth="1"/>
    <col min="12285" max="12285" width="16" customWidth="1"/>
    <col min="12286" max="12287" width="15.25" customWidth="1"/>
    <col min="12288" max="12296" width="0" hidden="1" customWidth="1"/>
    <col min="12523" max="12523" width="6" customWidth="1"/>
    <col min="12524" max="12524" width="10" customWidth="1"/>
    <col min="12525" max="12525" width="17.375" customWidth="1"/>
    <col min="12526" max="12526" width="6.375" customWidth="1"/>
    <col min="12527" max="12527" width="6.5" customWidth="1"/>
    <col min="12528" max="12528" width="6.25" customWidth="1"/>
    <col min="12529" max="12530" width="17.625" customWidth="1"/>
    <col min="12531" max="12531" width="17.375" customWidth="1"/>
    <col min="12532" max="12533" width="16.125" customWidth="1"/>
    <col min="12534" max="12534" width="13.5" customWidth="1"/>
    <col min="12535" max="12535" width="15.125" customWidth="1"/>
    <col min="12536" max="12536" width="7.75" customWidth="1"/>
    <col min="12537" max="12537" width="16.125" customWidth="1"/>
    <col min="12538" max="12538" width="16" customWidth="1"/>
    <col min="12539" max="12539" width="14.25" customWidth="1"/>
    <col min="12540" max="12540" width="15.5" customWidth="1"/>
    <col min="12541" max="12541" width="16" customWidth="1"/>
    <col min="12542" max="12543" width="15.25" customWidth="1"/>
    <col min="12544" max="12552" width="0" hidden="1" customWidth="1"/>
    <col min="12779" max="12779" width="6" customWidth="1"/>
    <col min="12780" max="12780" width="10" customWidth="1"/>
    <col min="12781" max="12781" width="17.375" customWidth="1"/>
    <col min="12782" max="12782" width="6.375" customWidth="1"/>
    <col min="12783" max="12783" width="6.5" customWidth="1"/>
    <col min="12784" max="12784" width="6.25" customWidth="1"/>
    <col min="12785" max="12786" width="17.625" customWidth="1"/>
    <col min="12787" max="12787" width="17.375" customWidth="1"/>
    <col min="12788" max="12789" width="16.125" customWidth="1"/>
    <col min="12790" max="12790" width="13.5" customWidth="1"/>
    <col min="12791" max="12791" width="15.125" customWidth="1"/>
    <col min="12792" max="12792" width="7.75" customWidth="1"/>
    <col min="12793" max="12793" width="16.125" customWidth="1"/>
    <col min="12794" max="12794" width="16" customWidth="1"/>
    <col min="12795" max="12795" width="14.25" customWidth="1"/>
    <col min="12796" max="12796" width="15.5" customWidth="1"/>
    <col min="12797" max="12797" width="16" customWidth="1"/>
    <col min="12798" max="12799" width="15.25" customWidth="1"/>
    <col min="12800" max="12808" width="0" hidden="1" customWidth="1"/>
    <col min="13035" max="13035" width="6" customWidth="1"/>
    <col min="13036" max="13036" width="10" customWidth="1"/>
    <col min="13037" max="13037" width="17.375" customWidth="1"/>
    <col min="13038" max="13038" width="6.375" customWidth="1"/>
    <col min="13039" max="13039" width="6.5" customWidth="1"/>
    <col min="13040" max="13040" width="6.25" customWidth="1"/>
    <col min="13041" max="13042" width="17.625" customWidth="1"/>
    <col min="13043" max="13043" width="17.375" customWidth="1"/>
    <col min="13044" max="13045" width="16.125" customWidth="1"/>
    <col min="13046" max="13046" width="13.5" customWidth="1"/>
    <col min="13047" max="13047" width="15.125" customWidth="1"/>
    <col min="13048" max="13048" width="7.75" customWidth="1"/>
    <col min="13049" max="13049" width="16.125" customWidth="1"/>
    <col min="13050" max="13050" width="16" customWidth="1"/>
    <col min="13051" max="13051" width="14.25" customWidth="1"/>
    <col min="13052" max="13052" width="15.5" customWidth="1"/>
    <col min="13053" max="13053" width="16" customWidth="1"/>
    <col min="13054" max="13055" width="15.25" customWidth="1"/>
    <col min="13056" max="13064" width="0" hidden="1" customWidth="1"/>
    <col min="13291" max="13291" width="6" customWidth="1"/>
    <col min="13292" max="13292" width="10" customWidth="1"/>
    <col min="13293" max="13293" width="17.375" customWidth="1"/>
    <col min="13294" max="13294" width="6.375" customWidth="1"/>
    <col min="13295" max="13295" width="6.5" customWidth="1"/>
    <col min="13296" max="13296" width="6.25" customWidth="1"/>
    <col min="13297" max="13298" width="17.625" customWidth="1"/>
    <col min="13299" max="13299" width="17.375" customWidth="1"/>
    <col min="13300" max="13301" width="16.125" customWidth="1"/>
    <col min="13302" max="13302" width="13.5" customWidth="1"/>
    <col min="13303" max="13303" width="15.125" customWidth="1"/>
    <col min="13304" max="13304" width="7.75" customWidth="1"/>
    <col min="13305" max="13305" width="16.125" customWidth="1"/>
    <col min="13306" max="13306" width="16" customWidth="1"/>
    <col min="13307" max="13307" width="14.25" customWidth="1"/>
    <col min="13308" max="13308" width="15.5" customWidth="1"/>
    <col min="13309" max="13309" width="16" customWidth="1"/>
    <col min="13310" max="13311" width="15.25" customWidth="1"/>
    <col min="13312" max="13320" width="0" hidden="1" customWidth="1"/>
    <col min="13547" max="13547" width="6" customWidth="1"/>
    <col min="13548" max="13548" width="10" customWidth="1"/>
    <col min="13549" max="13549" width="17.375" customWidth="1"/>
    <col min="13550" max="13550" width="6.375" customWidth="1"/>
    <col min="13551" max="13551" width="6.5" customWidth="1"/>
    <col min="13552" max="13552" width="6.25" customWidth="1"/>
    <col min="13553" max="13554" width="17.625" customWidth="1"/>
    <col min="13555" max="13555" width="17.375" customWidth="1"/>
    <col min="13556" max="13557" width="16.125" customWidth="1"/>
    <col min="13558" max="13558" width="13.5" customWidth="1"/>
    <col min="13559" max="13559" width="15.125" customWidth="1"/>
    <col min="13560" max="13560" width="7.75" customWidth="1"/>
    <col min="13561" max="13561" width="16.125" customWidth="1"/>
    <col min="13562" max="13562" width="16" customWidth="1"/>
    <col min="13563" max="13563" width="14.25" customWidth="1"/>
    <col min="13564" max="13564" width="15.5" customWidth="1"/>
    <col min="13565" max="13565" width="16" customWidth="1"/>
    <col min="13566" max="13567" width="15.25" customWidth="1"/>
    <col min="13568" max="13576" width="0" hidden="1" customWidth="1"/>
    <col min="13803" max="13803" width="6" customWidth="1"/>
    <col min="13804" max="13804" width="10" customWidth="1"/>
    <col min="13805" max="13805" width="17.375" customWidth="1"/>
    <col min="13806" max="13806" width="6.375" customWidth="1"/>
    <col min="13807" max="13807" width="6.5" customWidth="1"/>
    <col min="13808" max="13808" width="6.25" customWidth="1"/>
    <col min="13809" max="13810" width="17.625" customWidth="1"/>
    <col min="13811" max="13811" width="17.375" customWidth="1"/>
    <col min="13812" max="13813" width="16.125" customWidth="1"/>
    <col min="13814" max="13814" width="13.5" customWidth="1"/>
    <col min="13815" max="13815" width="15.125" customWidth="1"/>
    <col min="13816" max="13816" width="7.75" customWidth="1"/>
    <col min="13817" max="13817" width="16.125" customWidth="1"/>
    <col min="13818" max="13818" width="16" customWidth="1"/>
    <col min="13819" max="13819" width="14.25" customWidth="1"/>
    <col min="13820" max="13820" width="15.5" customWidth="1"/>
    <col min="13821" max="13821" width="16" customWidth="1"/>
    <col min="13822" max="13823" width="15.25" customWidth="1"/>
    <col min="13824" max="13832" width="0" hidden="1" customWidth="1"/>
    <col min="14059" max="14059" width="6" customWidth="1"/>
    <col min="14060" max="14060" width="10" customWidth="1"/>
    <col min="14061" max="14061" width="17.375" customWidth="1"/>
    <col min="14062" max="14062" width="6.375" customWidth="1"/>
    <col min="14063" max="14063" width="6.5" customWidth="1"/>
    <col min="14064" max="14064" width="6.25" customWidth="1"/>
    <col min="14065" max="14066" width="17.625" customWidth="1"/>
    <col min="14067" max="14067" width="17.375" customWidth="1"/>
    <col min="14068" max="14069" width="16.125" customWidth="1"/>
    <col min="14070" max="14070" width="13.5" customWidth="1"/>
    <col min="14071" max="14071" width="15.125" customWidth="1"/>
    <col min="14072" max="14072" width="7.75" customWidth="1"/>
    <col min="14073" max="14073" width="16.125" customWidth="1"/>
    <col min="14074" max="14074" width="16" customWidth="1"/>
    <col min="14075" max="14075" width="14.25" customWidth="1"/>
    <col min="14076" max="14076" width="15.5" customWidth="1"/>
    <col min="14077" max="14077" width="16" customWidth="1"/>
    <col min="14078" max="14079" width="15.25" customWidth="1"/>
    <col min="14080" max="14088" width="0" hidden="1" customWidth="1"/>
    <col min="14315" max="14315" width="6" customWidth="1"/>
    <col min="14316" max="14316" width="10" customWidth="1"/>
    <col min="14317" max="14317" width="17.375" customWidth="1"/>
    <col min="14318" max="14318" width="6.375" customWidth="1"/>
    <col min="14319" max="14319" width="6.5" customWidth="1"/>
    <col min="14320" max="14320" width="6.25" customWidth="1"/>
    <col min="14321" max="14322" width="17.625" customWidth="1"/>
    <col min="14323" max="14323" width="17.375" customWidth="1"/>
    <col min="14324" max="14325" width="16.125" customWidth="1"/>
    <col min="14326" max="14326" width="13.5" customWidth="1"/>
    <col min="14327" max="14327" width="15.125" customWidth="1"/>
    <col min="14328" max="14328" width="7.75" customWidth="1"/>
    <col min="14329" max="14329" width="16.125" customWidth="1"/>
    <col min="14330" max="14330" width="16" customWidth="1"/>
    <col min="14331" max="14331" width="14.25" customWidth="1"/>
    <col min="14332" max="14332" width="15.5" customWidth="1"/>
    <col min="14333" max="14333" width="16" customWidth="1"/>
    <col min="14334" max="14335" width="15.25" customWidth="1"/>
    <col min="14336" max="14344" width="0" hidden="1" customWidth="1"/>
    <col min="14571" max="14571" width="6" customWidth="1"/>
    <col min="14572" max="14572" width="10" customWidth="1"/>
    <col min="14573" max="14573" width="17.375" customWidth="1"/>
    <col min="14574" max="14574" width="6.375" customWidth="1"/>
    <col min="14575" max="14575" width="6.5" customWidth="1"/>
    <col min="14576" max="14576" width="6.25" customWidth="1"/>
    <col min="14577" max="14578" width="17.625" customWidth="1"/>
    <col min="14579" max="14579" width="17.375" customWidth="1"/>
    <col min="14580" max="14581" width="16.125" customWidth="1"/>
    <col min="14582" max="14582" width="13.5" customWidth="1"/>
    <col min="14583" max="14583" width="15.125" customWidth="1"/>
    <col min="14584" max="14584" width="7.75" customWidth="1"/>
    <col min="14585" max="14585" width="16.125" customWidth="1"/>
    <col min="14586" max="14586" width="16" customWidth="1"/>
    <col min="14587" max="14587" width="14.25" customWidth="1"/>
    <col min="14588" max="14588" width="15.5" customWidth="1"/>
    <col min="14589" max="14589" width="16" customWidth="1"/>
    <col min="14590" max="14591" width="15.25" customWidth="1"/>
    <col min="14592" max="14600" width="0" hidden="1" customWidth="1"/>
    <col min="14827" max="14827" width="6" customWidth="1"/>
    <col min="14828" max="14828" width="10" customWidth="1"/>
    <col min="14829" max="14829" width="17.375" customWidth="1"/>
    <col min="14830" max="14830" width="6.375" customWidth="1"/>
    <col min="14831" max="14831" width="6.5" customWidth="1"/>
    <col min="14832" max="14832" width="6.25" customWidth="1"/>
    <col min="14833" max="14834" width="17.625" customWidth="1"/>
    <col min="14835" max="14835" width="17.375" customWidth="1"/>
    <col min="14836" max="14837" width="16.125" customWidth="1"/>
    <col min="14838" max="14838" width="13.5" customWidth="1"/>
    <col min="14839" max="14839" width="15.125" customWidth="1"/>
    <col min="14840" max="14840" width="7.75" customWidth="1"/>
    <col min="14841" max="14841" width="16.125" customWidth="1"/>
    <col min="14842" max="14842" width="16" customWidth="1"/>
    <col min="14843" max="14843" width="14.25" customWidth="1"/>
    <col min="14844" max="14844" width="15.5" customWidth="1"/>
    <col min="14845" max="14845" width="16" customWidth="1"/>
    <col min="14846" max="14847" width="15.25" customWidth="1"/>
    <col min="14848" max="14856" width="0" hidden="1" customWidth="1"/>
    <col min="15083" max="15083" width="6" customWidth="1"/>
    <col min="15084" max="15084" width="10" customWidth="1"/>
    <col min="15085" max="15085" width="17.375" customWidth="1"/>
    <col min="15086" max="15086" width="6.375" customWidth="1"/>
    <col min="15087" max="15087" width="6.5" customWidth="1"/>
    <col min="15088" max="15088" width="6.25" customWidth="1"/>
    <col min="15089" max="15090" width="17.625" customWidth="1"/>
    <col min="15091" max="15091" width="17.375" customWidth="1"/>
    <col min="15092" max="15093" width="16.125" customWidth="1"/>
    <col min="15094" max="15094" width="13.5" customWidth="1"/>
    <col min="15095" max="15095" width="15.125" customWidth="1"/>
    <col min="15096" max="15096" width="7.75" customWidth="1"/>
    <col min="15097" max="15097" width="16.125" customWidth="1"/>
    <col min="15098" max="15098" width="16" customWidth="1"/>
    <col min="15099" max="15099" width="14.25" customWidth="1"/>
    <col min="15100" max="15100" width="15.5" customWidth="1"/>
    <col min="15101" max="15101" width="16" customWidth="1"/>
    <col min="15102" max="15103" width="15.25" customWidth="1"/>
    <col min="15104" max="15112" width="0" hidden="1" customWidth="1"/>
    <col min="15339" max="15339" width="6" customWidth="1"/>
    <col min="15340" max="15340" width="10" customWidth="1"/>
    <col min="15341" max="15341" width="17.375" customWidth="1"/>
    <col min="15342" max="15342" width="6.375" customWidth="1"/>
    <col min="15343" max="15343" width="6.5" customWidth="1"/>
    <col min="15344" max="15344" width="6.25" customWidth="1"/>
    <col min="15345" max="15346" width="17.625" customWidth="1"/>
    <col min="15347" max="15347" width="17.375" customWidth="1"/>
    <col min="15348" max="15349" width="16.125" customWidth="1"/>
    <col min="15350" max="15350" width="13.5" customWidth="1"/>
    <col min="15351" max="15351" width="15.125" customWidth="1"/>
    <col min="15352" max="15352" width="7.75" customWidth="1"/>
    <col min="15353" max="15353" width="16.125" customWidth="1"/>
    <col min="15354" max="15354" width="16" customWidth="1"/>
    <col min="15355" max="15355" width="14.25" customWidth="1"/>
    <col min="15356" max="15356" width="15.5" customWidth="1"/>
    <col min="15357" max="15357" width="16" customWidth="1"/>
    <col min="15358" max="15359" width="15.25" customWidth="1"/>
    <col min="15360" max="15368" width="0" hidden="1" customWidth="1"/>
    <col min="15595" max="15595" width="6" customWidth="1"/>
    <col min="15596" max="15596" width="10" customWidth="1"/>
    <col min="15597" max="15597" width="17.375" customWidth="1"/>
    <col min="15598" max="15598" width="6.375" customWidth="1"/>
    <col min="15599" max="15599" width="6.5" customWidth="1"/>
    <col min="15600" max="15600" width="6.25" customWidth="1"/>
    <col min="15601" max="15602" width="17.625" customWidth="1"/>
    <col min="15603" max="15603" width="17.375" customWidth="1"/>
    <col min="15604" max="15605" width="16.125" customWidth="1"/>
    <col min="15606" max="15606" width="13.5" customWidth="1"/>
    <col min="15607" max="15607" width="15.125" customWidth="1"/>
    <col min="15608" max="15608" width="7.75" customWidth="1"/>
    <col min="15609" max="15609" width="16.125" customWidth="1"/>
    <col min="15610" max="15610" width="16" customWidth="1"/>
    <col min="15611" max="15611" width="14.25" customWidth="1"/>
    <col min="15612" max="15612" width="15.5" customWidth="1"/>
    <col min="15613" max="15613" width="16" customWidth="1"/>
    <col min="15614" max="15615" width="15.25" customWidth="1"/>
    <col min="15616" max="15624" width="0" hidden="1" customWidth="1"/>
    <col min="15851" max="15851" width="6" customWidth="1"/>
    <col min="15852" max="15852" width="10" customWidth="1"/>
    <col min="15853" max="15853" width="17.375" customWidth="1"/>
    <col min="15854" max="15854" width="6.375" customWidth="1"/>
    <col min="15855" max="15855" width="6.5" customWidth="1"/>
    <col min="15856" max="15856" width="6.25" customWidth="1"/>
    <col min="15857" max="15858" width="17.625" customWidth="1"/>
    <col min="15859" max="15859" width="17.375" customWidth="1"/>
    <col min="15860" max="15861" width="16.125" customWidth="1"/>
    <col min="15862" max="15862" width="13.5" customWidth="1"/>
    <col min="15863" max="15863" width="15.125" customWidth="1"/>
    <col min="15864" max="15864" width="7.75" customWidth="1"/>
    <col min="15865" max="15865" width="16.125" customWidth="1"/>
    <col min="15866" max="15866" width="16" customWidth="1"/>
    <col min="15867" max="15867" width="14.25" customWidth="1"/>
    <col min="15868" max="15868" width="15.5" customWidth="1"/>
    <col min="15869" max="15869" width="16" customWidth="1"/>
    <col min="15870" max="15871" width="15.25" customWidth="1"/>
    <col min="15872" max="15880" width="0" hidden="1" customWidth="1"/>
    <col min="16107" max="16107" width="6" customWidth="1"/>
    <col min="16108" max="16108" width="10" customWidth="1"/>
    <col min="16109" max="16109" width="17.375" customWidth="1"/>
    <col min="16110" max="16110" width="6.375" customWidth="1"/>
    <col min="16111" max="16111" width="6.5" customWidth="1"/>
    <col min="16112" max="16112" width="6.25" customWidth="1"/>
    <col min="16113" max="16114" width="17.625" customWidth="1"/>
    <col min="16115" max="16115" width="17.375" customWidth="1"/>
    <col min="16116" max="16117" width="16.125" customWidth="1"/>
    <col min="16118" max="16118" width="13.5" customWidth="1"/>
    <col min="16119" max="16119" width="15.125" customWidth="1"/>
    <col min="16120" max="16120" width="7.75" customWidth="1"/>
    <col min="16121" max="16121" width="16.125" customWidth="1"/>
    <col min="16122" max="16122" width="16" customWidth="1"/>
    <col min="16123" max="16123" width="14.25" customWidth="1"/>
    <col min="16124" max="16124" width="15.5" customWidth="1"/>
    <col min="16125" max="16125" width="16" customWidth="1"/>
    <col min="16126" max="16127" width="15.25" customWidth="1"/>
    <col min="16128" max="16136" width="0" hidden="1" customWidth="1"/>
  </cols>
  <sheetData>
    <row r="1" spans="1:13" ht="35.1" customHeight="1" x14ac:dyDescent="0.3">
      <c r="A1" s="267" t="s">
        <v>194</v>
      </c>
      <c r="B1" s="267"/>
      <c r="C1" s="267"/>
      <c r="D1" s="268"/>
      <c r="E1" s="267"/>
      <c r="F1" s="267"/>
      <c r="G1" s="267"/>
      <c r="H1" s="268"/>
      <c r="I1" s="267"/>
      <c r="J1" s="267"/>
      <c r="K1" s="267"/>
    </row>
    <row r="2" spans="1:13" ht="24.75" customHeight="1" x14ac:dyDescent="0.3">
      <c r="A2" s="269" t="s">
        <v>166</v>
      </c>
      <c r="B2" s="269"/>
      <c r="C2" s="62"/>
      <c r="E2" s="3"/>
      <c r="F2" s="3"/>
      <c r="G2" s="4"/>
      <c r="I2" s="63"/>
      <c r="J2" s="4"/>
      <c r="K2" s="5" t="s">
        <v>48</v>
      </c>
    </row>
    <row r="3" spans="1:13" ht="24" customHeight="1" x14ac:dyDescent="0.3">
      <c r="A3" s="260" t="s">
        <v>151</v>
      </c>
      <c r="B3" s="260" t="s">
        <v>155</v>
      </c>
      <c r="C3" s="260" t="s">
        <v>136</v>
      </c>
      <c r="D3" s="260" t="s">
        <v>161</v>
      </c>
      <c r="E3" s="263" t="s">
        <v>126</v>
      </c>
      <c r="F3" s="264"/>
      <c r="G3" s="270" t="s">
        <v>61</v>
      </c>
      <c r="H3" s="274" t="s">
        <v>54</v>
      </c>
      <c r="I3" s="275"/>
      <c r="J3" s="270" t="s">
        <v>77</v>
      </c>
      <c r="K3" s="272" t="s">
        <v>168</v>
      </c>
    </row>
    <row r="4" spans="1:13" ht="24" customHeight="1" x14ac:dyDescent="0.3">
      <c r="A4" s="261"/>
      <c r="B4" s="261"/>
      <c r="C4" s="261"/>
      <c r="D4" s="261"/>
      <c r="E4" s="265"/>
      <c r="F4" s="266"/>
      <c r="G4" s="271"/>
      <c r="H4" s="6" t="s">
        <v>165</v>
      </c>
      <c r="I4" s="7" t="s">
        <v>174</v>
      </c>
      <c r="J4" s="271"/>
      <c r="K4" s="273"/>
    </row>
    <row r="5" spans="1:13" ht="30" customHeight="1" x14ac:dyDescent="0.3">
      <c r="A5" s="262"/>
      <c r="B5" s="262"/>
      <c r="C5" s="262"/>
      <c r="D5" s="262"/>
      <c r="E5" s="9">
        <f t="shared" ref="E5:K5" si="0">SUM(E6:E20)</f>
        <v>48592000</v>
      </c>
      <c r="F5" s="9">
        <f t="shared" si="0"/>
        <v>583104000</v>
      </c>
      <c r="G5" s="9">
        <f t="shared" si="0"/>
        <v>58310400</v>
      </c>
      <c r="H5" s="9">
        <f t="shared" si="0"/>
        <v>376</v>
      </c>
      <c r="I5" s="9">
        <f t="shared" si="0"/>
        <v>96218680</v>
      </c>
      <c r="J5" s="9">
        <f t="shared" si="0"/>
        <v>9760000</v>
      </c>
      <c r="K5" s="9">
        <f t="shared" si="0"/>
        <v>747393080</v>
      </c>
    </row>
    <row r="6" spans="1:13" ht="30" customHeight="1" x14ac:dyDescent="0.3">
      <c r="A6" s="10">
        <v>1</v>
      </c>
      <c r="B6" s="10" t="s">
        <v>72</v>
      </c>
      <c r="C6" s="10" t="s">
        <v>146</v>
      </c>
      <c r="D6" s="11">
        <v>28</v>
      </c>
      <c r="E6" s="12">
        <v>5403200</v>
      </c>
      <c r="F6" s="12">
        <f>E6*12</f>
        <v>64838400</v>
      </c>
      <c r="G6" s="12">
        <f>E6*0.6*2</f>
        <v>6483840</v>
      </c>
      <c r="H6" s="12"/>
      <c r="I6" s="12"/>
      <c r="J6" s="12">
        <f>40000*12</f>
        <v>480000</v>
      </c>
      <c r="K6" s="44">
        <f>F6+G6+I6+J6</f>
        <v>71802240</v>
      </c>
      <c r="L6" s="159"/>
    </row>
    <row r="7" spans="1:13" ht="30" customHeight="1" x14ac:dyDescent="0.3">
      <c r="A7" s="10">
        <v>2</v>
      </c>
      <c r="B7" s="10" t="s">
        <v>51</v>
      </c>
      <c r="C7" s="10" t="s">
        <v>144</v>
      </c>
      <c r="D7" s="11">
        <v>26</v>
      </c>
      <c r="E7" s="12">
        <v>4444100</v>
      </c>
      <c r="F7" s="12">
        <f t="shared" ref="F7:F20" si="1">E7*12</f>
        <v>53329200</v>
      </c>
      <c r="G7" s="12">
        <f t="shared" ref="G7:G20" si="2">E7*0.6*2</f>
        <v>5332920</v>
      </c>
      <c r="H7" s="12">
        <v>8</v>
      </c>
      <c r="I7" s="12">
        <f t="shared" ref="I7:I16" si="3">ROUNDDOWN(F7*1/209*1.5*H7,-1)</f>
        <v>3061960</v>
      </c>
      <c r="J7" s="12">
        <f>40000*12</f>
        <v>480000</v>
      </c>
      <c r="K7" s="44">
        <f t="shared" ref="K7:K20" si="4">F7+G7+I7+J7</f>
        <v>62204080</v>
      </c>
      <c r="L7" s="113"/>
      <c r="M7" s="113"/>
    </row>
    <row r="8" spans="1:13" ht="30" customHeight="1" x14ac:dyDescent="0.3">
      <c r="A8" s="10">
        <v>3</v>
      </c>
      <c r="B8" s="10" t="s">
        <v>173</v>
      </c>
      <c r="C8" s="10" t="s">
        <v>142</v>
      </c>
      <c r="D8" s="11">
        <v>24</v>
      </c>
      <c r="E8" s="12">
        <v>3667600</v>
      </c>
      <c r="F8" s="12">
        <f t="shared" si="1"/>
        <v>44011200</v>
      </c>
      <c r="G8" s="12">
        <f t="shared" si="2"/>
        <v>4401120</v>
      </c>
      <c r="H8" s="12">
        <v>8</v>
      </c>
      <c r="I8" s="12">
        <f t="shared" si="3"/>
        <v>2526950</v>
      </c>
      <c r="J8" s="12">
        <f>40000*12</f>
        <v>480000</v>
      </c>
      <c r="K8" s="44">
        <f t="shared" si="4"/>
        <v>51419270</v>
      </c>
    </row>
    <row r="9" spans="1:13" ht="30" customHeight="1" x14ac:dyDescent="0.3">
      <c r="A9" s="10">
        <v>4</v>
      </c>
      <c r="B9" s="10" t="s">
        <v>60</v>
      </c>
      <c r="C9" s="10" t="s">
        <v>158</v>
      </c>
      <c r="D9" s="11">
        <v>23</v>
      </c>
      <c r="E9" s="12">
        <v>3620300</v>
      </c>
      <c r="F9" s="12">
        <f t="shared" si="1"/>
        <v>43443600</v>
      </c>
      <c r="G9" s="12">
        <f t="shared" si="2"/>
        <v>4344360</v>
      </c>
      <c r="H9" s="12">
        <v>30</v>
      </c>
      <c r="I9" s="12">
        <f t="shared" si="3"/>
        <v>9353880</v>
      </c>
      <c r="J9" s="12">
        <f>140000*12</f>
        <v>1680000</v>
      </c>
      <c r="K9" s="44">
        <f t="shared" si="4"/>
        <v>58821840</v>
      </c>
    </row>
    <row r="10" spans="1:13" ht="30" customHeight="1" x14ac:dyDescent="0.3">
      <c r="A10" s="10">
        <v>5</v>
      </c>
      <c r="B10" s="10" t="s">
        <v>60</v>
      </c>
      <c r="C10" s="10" t="s">
        <v>152</v>
      </c>
      <c r="D10" s="11">
        <v>16</v>
      </c>
      <c r="E10" s="12">
        <v>3215400</v>
      </c>
      <c r="F10" s="12">
        <f t="shared" si="1"/>
        <v>38584800</v>
      </c>
      <c r="G10" s="12">
        <f t="shared" si="2"/>
        <v>3858480</v>
      </c>
      <c r="H10" s="12">
        <v>30</v>
      </c>
      <c r="I10" s="12">
        <f t="shared" si="3"/>
        <v>8307730</v>
      </c>
      <c r="J10" s="12">
        <v>400000</v>
      </c>
      <c r="K10" s="44">
        <f t="shared" si="4"/>
        <v>51151010</v>
      </c>
    </row>
    <row r="11" spans="1:13" ht="30" customHeight="1" x14ac:dyDescent="0.3">
      <c r="A11" s="10">
        <v>6</v>
      </c>
      <c r="B11" s="10" t="s">
        <v>60</v>
      </c>
      <c r="C11" s="10" t="s">
        <v>153</v>
      </c>
      <c r="D11" s="11">
        <v>18</v>
      </c>
      <c r="E11" s="12">
        <v>3648200</v>
      </c>
      <c r="F11" s="12">
        <f t="shared" si="1"/>
        <v>43778400</v>
      </c>
      <c r="G11" s="12">
        <f t="shared" si="2"/>
        <v>4377840</v>
      </c>
      <c r="H11" s="12">
        <v>30</v>
      </c>
      <c r="I11" s="12">
        <f t="shared" si="3"/>
        <v>9425970</v>
      </c>
      <c r="J11" s="12">
        <v>0</v>
      </c>
      <c r="K11" s="44">
        <f t="shared" si="4"/>
        <v>57582210</v>
      </c>
    </row>
    <row r="12" spans="1:13" ht="30" customHeight="1" x14ac:dyDescent="0.3">
      <c r="A12" s="10">
        <v>7</v>
      </c>
      <c r="B12" s="10" t="s">
        <v>60</v>
      </c>
      <c r="C12" s="10" t="s">
        <v>140</v>
      </c>
      <c r="D12" s="11">
        <v>15</v>
      </c>
      <c r="E12" s="12">
        <v>3145700</v>
      </c>
      <c r="F12" s="12">
        <f t="shared" si="1"/>
        <v>37748400</v>
      </c>
      <c r="G12" s="12">
        <f t="shared" si="2"/>
        <v>3774840</v>
      </c>
      <c r="H12" s="12">
        <v>30</v>
      </c>
      <c r="I12" s="12">
        <f t="shared" si="3"/>
        <v>8127640</v>
      </c>
      <c r="J12" s="12">
        <f>70000*12</f>
        <v>840000</v>
      </c>
      <c r="K12" s="44">
        <f t="shared" si="4"/>
        <v>50490880</v>
      </c>
    </row>
    <row r="13" spans="1:13" ht="30" customHeight="1" x14ac:dyDescent="0.3">
      <c r="A13" s="10">
        <v>8</v>
      </c>
      <c r="B13" s="10" t="s">
        <v>60</v>
      </c>
      <c r="C13" s="10" t="s">
        <v>156</v>
      </c>
      <c r="D13" s="11">
        <v>13</v>
      </c>
      <c r="E13" s="12">
        <v>3019700</v>
      </c>
      <c r="F13" s="12">
        <f t="shared" si="1"/>
        <v>36236400</v>
      </c>
      <c r="G13" s="12">
        <f t="shared" si="2"/>
        <v>3623640</v>
      </c>
      <c r="H13" s="12">
        <v>30</v>
      </c>
      <c r="I13" s="12">
        <f t="shared" si="3"/>
        <v>7802090</v>
      </c>
      <c r="J13" s="12">
        <f>40000*12</f>
        <v>480000</v>
      </c>
      <c r="K13" s="44">
        <f t="shared" si="4"/>
        <v>48142130</v>
      </c>
    </row>
    <row r="14" spans="1:13" ht="30" customHeight="1" x14ac:dyDescent="0.3">
      <c r="A14" s="10">
        <v>9</v>
      </c>
      <c r="B14" s="10" t="s">
        <v>60</v>
      </c>
      <c r="C14" s="10" t="s">
        <v>145</v>
      </c>
      <c r="D14" s="11">
        <v>14</v>
      </c>
      <c r="E14" s="12">
        <v>3081600</v>
      </c>
      <c r="F14" s="12">
        <f t="shared" si="1"/>
        <v>36979200</v>
      </c>
      <c r="G14" s="12">
        <f t="shared" si="2"/>
        <v>3697920</v>
      </c>
      <c r="H14" s="12">
        <v>30</v>
      </c>
      <c r="I14" s="12">
        <f t="shared" si="3"/>
        <v>7962020</v>
      </c>
      <c r="J14" s="12">
        <v>0</v>
      </c>
      <c r="K14" s="44">
        <f t="shared" si="4"/>
        <v>48639140</v>
      </c>
    </row>
    <row r="15" spans="1:13" ht="30" customHeight="1" x14ac:dyDescent="0.3">
      <c r="A15" s="10">
        <v>10</v>
      </c>
      <c r="B15" s="10" t="s">
        <v>60</v>
      </c>
      <c r="C15" s="10" t="s">
        <v>199</v>
      </c>
      <c r="D15" s="11">
        <v>9</v>
      </c>
      <c r="E15" s="12">
        <v>2739600</v>
      </c>
      <c r="F15" s="12">
        <f t="shared" si="1"/>
        <v>32875200</v>
      </c>
      <c r="G15" s="12">
        <f t="shared" si="2"/>
        <v>3287520</v>
      </c>
      <c r="H15" s="12">
        <v>30</v>
      </c>
      <c r="I15" s="12">
        <f t="shared" si="3"/>
        <v>7078390</v>
      </c>
      <c r="J15" s="12">
        <f>140000*12</f>
        <v>1680000</v>
      </c>
      <c r="K15" s="44">
        <f t="shared" si="4"/>
        <v>44921110</v>
      </c>
    </row>
    <row r="16" spans="1:13" ht="29.25" customHeight="1" x14ac:dyDescent="0.3">
      <c r="A16" s="10">
        <v>11</v>
      </c>
      <c r="B16" s="98" t="s">
        <v>60</v>
      </c>
      <c r="C16" s="98" t="s">
        <v>154</v>
      </c>
      <c r="D16" s="11">
        <v>9</v>
      </c>
      <c r="E16" s="12">
        <v>2739600</v>
      </c>
      <c r="F16" s="12">
        <f t="shared" si="1"/>
        <v>32875200</v>
      </c>
      <c r="G16" s="12">
        <f t="shared" si="2"/>
        <v>3287520</v>
      </c>
      <c r="H16" s="12">
        <v>30</v>
      </c>
      <c r="I16" s="12">
        <f t="shared" si="3"/>
        <v>7078390</v>
      </c>
      <c r="J16" s="12">
        <f>100000*12</f>
        <v>1200000</v>
      </c>
      <c r="K16" s="44">
        <f t="shared" si="4"/>
        <v>44441110</v>
      </c>
    </row>
    <row r="17" spans="1:11" ht="33.75" customHeight="1" x14ac:dyDescent="0.3">
      <c r="A17" s="10">
        <v>12</v>
      </c>
      <c r="B17" s="98" t="s">
        <v>60</v>
      </c>
      <c r="C17" s="117" t="s">
        <v>180</v>
      </c>
      <c r="D17" s="11">
        <v>8</v>
      </c>
      <c r="E17" s="12">
        <v>2645000</v>
      </c>
      <c r="F17" s="12">
        <f t="shared" si="1"/>
        <v>31740000</v>
      </c>
      <c r="G17" s="12">
        <f t="shared" si="2"/>
        <v>3174000</v>
      </c>
      <c r="H17" s="12">
        <v>30</v>
      </c>
      <c r="I17" s="12">
        <f>ROUNDDOWN(F17*1/209*1.5*H17,-1)</f>
        <v>6833970</v>
      </c>
      <c r="J17" s="12">
        <f>40000*12</f>
        <v>480000</v>
      </c>
      <c r="K17" s="44">
        <f t="shared" si="4"/>
        <v>42227970</v>
      </c>
    </row>
    <row r="18" spans="1:11" ht="29.25" customHeight="1" x14ac:dyDescent="0.3">
      <c r="A18" s="10">
        <v>13</v>
      </c>
      <c r="B18" s="98" t="s">
        <v>60</v>
      </c>
      <c r="C18" s="98" t="s">
        <v>147</v>
      </c>
      <c r="D18" s="11">
        <v>7</v>
      </c>
      <c r="E18" s="12">
        <v>2544400</v>
      </c>
      <c r="F18" s="12">
        <f t="shared" si="1"/>
        <v>30532800</v>
      </c>
      <c r="G18" s="12">
        <f t="shared" si="2"/>
        <v>3053280</v>
      </c>
      <c r="H18" s="12">
        <v>30</v>
      </c>
      <c r="I18" s="12">
        <f t="shared" ref="I18" si="5">ROUNDDOWN(F18*1/209*1.5*H18,-1)</f>
        <v>6574040</v>
      </c>
      <c r="J18" s="12">
        <f>70000*12</f>
        <v>840000</v>
      </c>
      <c r="K18" s="44">
        <f t="shared" si="4"/>
        <v>41000120</v>
      </c>
    </row>
    <row r="19" spans="1:11" ht="33.75" customHeight="1" x14ac:dyDescent="0.3">
      <c r="A19" s="10">
        <v>14</v>
      </c>
      <c r="B19" s="98" t="s">
        <v>60</v>
      </c>
      <c r="C19" s="117" t="s">
        <v>181</v>
      </c>
      <c r="D19" s="11">
        <v>6</v>
      </c>
      <c r="E19" s="12">
        <v>2452800</v>
      </c>
      <c r="F19" s="12">
        <f t="shared" si="1"/>
        <v>29433600</v>
      </c>
      <c r="G19" s="12">
        <f t="shared" si="2"/>
        <v>2943360</v>
      </c>
      <c r="H19" s="12">
        <v>30</v>
      </c>
      <c r="I19" s="12">
        <f>ROUNDDOWN(F19*1/209*1.5*H19,-1)</f>
        <v>6337370</v>
      </c>
      <c r="J19" s="12">
        <v>0</v>
      </c>
      <c r="K19" s="44">
        <f t="shared" si="4"/>
        <v>38714330</v>
      </c>
    </row>
    <row r="20" spans="1:11" ht="30" customHeight="1" x14ac:dyDescent="0.3">
      <c r="A20" s="10">
        <v>15</v>
      </c>
      <c r="B20" s="10" t="s">
        <v>157</v>
      </c>
      <c r="C20" s="10" t="s">
        <v>182</v>
      </c>
      <c r="D20" s="11">
        <v>4</v>
      </c>
      <c r="E20" s="12">
        <v>2224800</v>
      </c>
      <c r="F20" s="12">
        <f t="shared" si="1"/>
        <v>26697600</v>
      </c>
      <c r="G20" s="12">
        <f t="shared" si="2"/>
        <v>2669760</v>
      </c>
      <c r="H20" s="12">
        <v>30</v>
      </c>
      <c r="I20" s="12">
        <f>ROUNDDOWN(F20*1/209*1.5*H20,-1)</f>
        <v>5748280</v>
      </c>
      <c r="J20" s="12">
        <f>60000*12</f>
        <v>720000</v>
      </c>
      <c r="K20" s="44">
        <f t="shared" si="4"/>
        <v>35835640</v>
      </c>
    </row>
  </sheetData>
  <mergeCells count="11">
    <mergeCell ref="B3:B5"/>
    <mergeCell ref="E3:F4"/>
    <mergeCell ref="D3:D5"/>
    <mergeCell ref="A1:K1"/>
    <mergeCell ref="A2:B2"/>
    <mergeCell ref="A3:A5"/>
    <mergeCell ref="C3:C5"/>
    <mergeCell ref="G3:G4"/>
    <mergeCell ref="K3:K4"/>
    <mergeCell ref="H3:I3"/>
    <mergeCell ref="J3:J4"/>
  </mergeCells>
  <phoneticPr fontId="19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T24"/>
  <sheetViews>
    <sheetView topLeftCell="A2" zoomScaleNormal="100" zoomScaleSheetLayoutView="75" workbookViewId="0">
      <selection activeCell="L23" sqref="L23"/>
    </sheetView>
  </sheetViews>
  <sheetFormatPr defaultColWidth="8.875" defaultRowHeight="16.5" x14ac:dyDescent="0.3"/>
  <cols>
    <col min="1" max="1" width="5.75" style="2" customWidth="1"/>
    <col min="2" max="2" width="16.125" style="2" bestFit="1" customWidth="1"/>
    <col min="3" max="3" width="9.25" style="2" customWidth="1"/>
    <col min="4" max="4" width="7.5" style="2" bestFit="1" customWidth="1"/>
    <col min="5" max="5" width="14.5" hidden="1" customWidth="1"/>
    <col min="6" max="6" width="15.75" hidden="1" customWidth="1"/>
    <col min="7" max="7" width="15.125" hidden="1" customWidth="1"/>
    <col min="8" max="8" width="7.75" style="2" hidden="1" customWidth="1"/>
    <col min="9" max="9" width="16.125" hidden="1" customWidth="1"/>
    <col min="10" max="10" width="13.25" hidden="1" customWidth="1"/>
    <col min="11" max="11" width="15.75" hidden="1" customWidth="1"/>
    <col min="12" max="12" width="15.75" bestFit="1" customWidth="1"/>
    <col min="13" max="18" width="15.625" customWidth="1"/>
    <col min="19" max="19" width="15.75" customWidth="1"/>
    <col min="20" max="20" width="13.8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20" ht="35.1" customHeight="1" x14ac:dyDescent="0.3">
      <c r="A1" s="267" t="s">
        <v>195</v>
      </c>
      <c r="B1" s="267"/>
      <c r="C1" s="267"/>
      <c r="D1" s="267"/>
      <c r="E1" s="268"/>
      <c r="F1" s="268"/>
      <c r="G1" s="267"/>
      <c r="H1" s="267"/>
      <c r="I1" s="268"/>
      <c r="J1" s="267"/>
      <c r="K1" s="267"/>
      <c r="L1" s="267"/>
      <c r="M1" s="267"/>
      <c r="N1" s="267"/>
      <c r="O1" s="267"/>
      <c r="P1" s="267"/>
      <c r="Q1" s="267"/>
      <c r="R1" s="267"/>
      <c r="S1" s="267"/>
    </row>
    <row r="2" spans="1:20" ht="26.25" customHeight="1" x14ac:dyDescent="0.3">
      <c r="A2" s="56" t="s">
        <v>166</v>
      </c>
      <c r="B2" s="1"/>
      <c r="C2" s="1"/>
      <c r="E2" s="3"/>
      <c r="F2" s="3"/>
      <c r="G2" s="4"/>
      <c r="I2" s="4"/>
      <c r="J2" s="4"/>
      <c r="K2" s="5"/>
      <c r="L2" s="4"/>
      <c r="M2" s="4"/>
      <c r="N2" s="4"/>
      <c r="O2" s="4"/>
      <c r="P2" s="4"/>
      <c r="Q2" s="114"/>
      <c r="R2" s="114"/>
      <c r="S2" s="5" t="s">
        <v>48</v>
      </c>
    </row>
    <row r="3" spans="1:20" ht="19.5" customHeight="1" x14ac:dyDescent="0.3">
      <c r="A3" s="260" t="s">
        <v>151</v>
      </c>
      <c r="B3" s="260" t="s">
        <v>155</v>
      </c>
      <c r="C3" s="260" t="s">
        <v>136</v>
      </c>
      <c r="D3" s="260" t="s">
        <v>161</v>
      </c>
      <c r="E3" s="263" t="s">
        <v>126</v>
      </c>
      <c r="F3" s="264"/>
      <c r="G3" s="270" t="s">
        <v>61</v>
      </c>
      <c r="H3" s="274" t="s">
        <v>54</v>
      </c>
      <c r="I3" s="275"/>
      <c r="J3" s="270" t="s">
        <v>77</v>
      </c>
      <c r="K3" s="272" t="s">
        <v>170</v>
      </c>
      <c r="L3" s="272" t="s">
        <v>40</v>
      </c>
      <c r="M3" s="280" t="s">
        <v>114</v>
      </c>
      <c r="N3" s="280"/>
      <c r="O3" s="280"/>
      <c r="P3" s="280"/>
      <c r="Q3" s="280"/>
      <c r="R3" s="280"/>
      <c r="S3" s="280"/>
    </row>
    <row r="4" spans="1:20" ht="14.25" customHeight="1" x14ac:dyDescent="0.3">
      <c r="A4" s="261"/>
      <c r="B4" s="261"/>
      <c r="C4" s="261"/>
      <c r="D4" s="261"/>
      <c r="E4" s="265"/>
      <c r="F4" s="266"/>
      <c r="G4" s="281"/>
      <c r="H4" s="282" t="s">
        <v>165</v>
      </c>
      <c r="I4" s="270" t="s">
        <v>174</v>
      </c>
      <c r="J4" s="281"/>
      <c r="K4" s="279"/>
      <c r="L4" s="279"/>
      <c r="M4" s="280"/>
      <c r="N4" s="280"/>
      <c r="O4" s="280"/>
      <c r="P4" s="280"/>
      <c r="Q4" s="280"/>
      <c r="R4" s="280"/>
      <c r="S4" s="280"/>
    </row>
    <row r="5" spans="1:20" ht="46.5" customHeight="1" x14ac:dyDescent="0.3">
      <c r="A5" s="262"/>
      <c r="B5" s="262"/>
      <c r="C5" s="262"/>
      <c r="D5" s="262"/>
      <c r="E5" s="128" t="s">
        <v>183</v>
      </c>
      <c r="F5" s="128" t="s">
        <v>184</v>
      </c>
      <c r="G5" s="271"/>
      <c r="H5" s="283"/>
      <c r="I5" s="271"/>
      <c r="J5" s="271"/>
      <c r="K5" s="273"/>
      <c r="L5" s="273"/>
      <c r="M5" s="8" t="s">
        <v>209</v>
      </c>
      <c r="N5" s="8" t="s">
        <v>3</v>
      </c>
      <c r="O5" s="8" t="s">
        <v>92</v>
      </c>
      <c r="P5" s="8" t="s">
        <v>90</v>
      </c>
      <c r="Q5" s="8" t="s">
        <v>201</v>
      </c>
      <c r="R5" s="8" t="s">
        <v>104</v>
      </c>
      <c r="S5" s="57" t="s">
        <v>168</v>
      </c>
    </row>
    <row r="6" spans="1:20" ht="30" customHeight="1" x14ac:dyDescent="0.3">
      <c r="A6" s="276" t="s">
        <v>163</v>
      </c>
      <c r="B6" s="277"/>
      <c r="C6" s="277"/>
      <c r="D6" s="278"/>
      <c r="E6" s="9">
        <f>SUM(E7:E21)</f>
        <v>48592000</v>
      </c>
      <c r="F6" s="9">
        <f t="shared" ref="F6:S6" si="0">SUM(F7:F21)</f>
        <v>583104000</v>
      </c>
      <c r="G6" s="9">
        <f t="shared" si="0"/>
        <v>58310400</v>
      </c>
      <c r="H6" s="9">
        <f t="shared" si="0"/>
        <v>376</v>
      </c>
      <c r="I6" s="9">
        <f t="shared" si="0"/>
        <v>96218680</v>
      </c>
      <c r="J6" s="9">
        <f t="shared" si="0"/>
        <v>9760000</v>
      </c>
      <c r="K6" s="9">
        <f t="shared" si="0"/>
        <v>747393080</v>
      </c>
      <c r="L6" s="9">
        <f t="shared" si="0"/>
        <v>747393080</v>
      </c>
      <c r="M6" s="9">
        <f t="shared" si="0"/>
        <v>29895800</v>
      </c>
      <c r="N6" s="9">
        <f t="shared" si="0"/>
        <v>3832710</v>
      </c>
      <c r="O6" s="9">
        <f t="shared" si="0"/>
        <v>33632750</v>
      </c>
      <c r="P6" s="9">
        <f t="shared" si="0"/>
        <v>6756000</v>
      </c>
      <c r="Q6" s="9">
        <f t="shared" si="0"/>
        <v>7836790</v>
      </c>
      <c r="R6" s="9">
        <f t="shared" si="0"/>
        <v>62282820</v>
      </c>
      <c r="S6" s="9">
        <f t="shared" si="0"/>
        <v>144236870</v>
      </c>
      <c r="T6" s="159"/>
    </row>
    <row r="7" spans="1:20" ht="30" customHeight="1" x14ac:dyDescent="0.3">
      <c r="A7" s="122">
        <v>1</v>
      </c>
      <c r="B7" s="10" t="s">
        <v>72</v>
      </c>
      <c r="C7" s="10" t="str">
        <f>급여산출기초1!C6</f>
        <v>김문정</v>
      </c>
      <c r="D7" s="11">
        <v>27</v>
      </c>
      <c r="E7" s="12">
        <f>급여산출기초1!E6</f>
        <v>5403200</v>
      </c>
      <c r="F7" s="12">
        <f>급여산출기초1!F6</f>
        <v>64838400</v>
      </c>
      <c r="G7" s="12">
        <f>급여산출기초1!G6</f>
        <v>6483840</v>
      </c>
      <c r="H7" s="12"/>
      <c r="I7" s="12"/>
      <c r="J7" s="12">
        <f>급여산출기초1!J6</f>
        <v>480000</v>
      </c>
      <c r="K7" s="9">
        <f>F7+G7+I7+J7</f>
        <v>71802240</v>
      </c>
      <c r="L7" s="44">
        <f t="shared" ref="L7:L16" si="1">K7</f>
        <v>71802240</v>
      </c>
      <c r="M7" s="13">
        <f t="shared" ref="M7:M21" si="2">ROUNDUP(L7*0.04,-1)</f>
        <v>2872090</v>
      </c>
      <c r="N7" s="13">
        <f>ROUNDUP(M7*12.82%,-1)</f>
        <v>368210</v>
      </c>
      <c r="O7" s="13">
        <f>ROUNDUP(L7*0.045,-1)</f>
        <v>3231110</v>
      </c>
      <c r="P7" s="13"/>
      <c r="Q7" s="13"/>
      <c r="R7" s="13">
        <f>ROUNDUP(L7/12,-1)</f>
        <v>5983520</v>
      </c>
      <c r="S7" s="44">
        <f t="shared" ref="S7:S20" si="3">SUM(M7:R7)</f>
        <v>12454930</v>
      </c>
    </row>
    <row r="8" spans="1:20" ht="30" customHeight="1" x14ac:dyDescent="0.3">
      <c r="A8" s="122">
        <v>2</v>
      </c>
      <c r="B8" s="10" t="s">
        <v>51</v>
      </c>
      <c r="C8" s="10" t="str">
        <f>급여산출기초1!C7</f>
        <v>최연아</v>
      </c>
      <c r="D8" s="11">
        <v>25</v>
      </c>
      <c r="E8" s="12">
        <f>급여산출기초1!E7</f>
        <v>4444100</v>
      </c>
      <c r="F8" s="12">
        <f>급여산출기초1!F7</f>
        <v>53329200</v>
      </c>
      <c r="G8" s="12">
        <f>급여산출기초1!G7</f>
        <v>5332920</v>
      </c>
      <c r="H8" s="12">
        <v>8</v>
      </c>
      <c r="I8" s="12">
        <f>급여산출기초1!I7</f>
        <v>3061960</v>
      </c>
      <c r="J8" s="12">
        <f>급여산출기초1!J7</f>
        <v>480000</v>
      </c>
      <c r="K8" s="9">
        <f t="shared" ref="K8:K21" si="4">F8+G8+I8+J8</f>
        <v>62204080</v>
      </c>
      <c r="L8" s="44">
        <f t="shared" si="1"/>
        <v>62204080</v>
      </c>
      <c r="M8" s="13">
        <f t="shared" si="2"/>
        <v>2488170</v>
      </c>
      <c r="N8" s="13">
        <f t="shared" ref="N8:N21" si="5">ROUNDUP(M8*12.82%,-1)</f>
        <v>318990</v>
      </c>
      <c r="O8" s="13">
        <f t="shared" ref="O8:O21" si="6">ROUNDUP(L8*0.045,-1)</f>
        <v>2799190</v>
      </c>
      <c r="P8" s="13">
        <f>ROUNDUP(L8*0.01,-1)</f>
        <v>622050</v>
      </c>
      <c r="Q8" s="13">
        <f>ROUNDDOWN(L8*0.0116,-1)</f>
        <v>721560</v>
      </c>
      <c r="R8" s="13">
        <f t="shared" ref="R8:R21" si="7">ROUNDUP(L8/12,-1)</f>
        <v>5183680</v>
      </c>
      <c r="S8" s="44">
        <f t="shared" si="3"/>
        <v>12133640</v>
      </c>
    </row>
    <row r="9" spans="1:20" ht="30" customHeight="1" x14ac:dyDescent="0.3">
      <c r="A9" s="122">
        <v>3</v>
      </c>
      <c r="B9" s="10" t="s">
        <v>173</v>
      </c>
      <c r="C9" s="10" t="str">
        <f>급여산출기초1!C8</f>
        <v>조유미</v>
      </c>
      <c r="D9" s="11">
        <v>23</v>
      </c>
      <c r="E9" s="12">
        <f>급여산출기초1!E8</f>
        <v>3667600</v>
      </c>
      <c r="F9" s="12">
        <f>급여산출기초1!F8</f>
        <v>44011200</v>
      </c>
      <c r="G9" s="12">
        <f>급여산출기초1!G8</f>
        <v>4401120</v>
      </c>
      <c r="H9" s="12">
        <v>8</v>
      </c>
      <c r="I9" s="12">
        <f>급여산출기초1!I8</f>
        <v>2526950</v>
      </c>
      <c r="J9" s="12">
        <f>급여산출기초1!J8</f>
        <v>480000</v>
      </c>
      <c r="K9" s="9">
        <f t="shared" si="4"/>
        <v>51419270</v>
      </c>
      <c r="L9" s="44">
        <f t="shared" si="1"/>
        <v>51419270</v>
      </c>
      <c r="M9" s="13">
        <f t="shared" si="2"/>
        <v>2056780</v>
      </c>
      <c r="N9" s="13">
        <f t="shared" si="5"/>
        <v>263680</v>
      </c>
      <c r="O9" s="13">
        <f t="shared" si="6"/>
        <v>2313870</v>
      </c>
      <c r="P9" s="13">
        <f t="shared" ref="P9:P21" si="8">ROUNDUP(L9*0.01,-1)</f>
        <v>514200</v>
      </c>
      <c r="Q9" s="13">
        <f t="shared" ref="Q9:Q21" si="9">ROUNDDOWN(L9*0.0116,-1)</f>
        <v>596460</v>
      </c>
      <c r="R9" s="13">
        <f t="shared" si="7"/>
        <v>4284940</v>
      </c>
      <c r="S9" s="44">
        <f t="shared" si="3"/>
        <v>10029930</v>
      </c>
    </row>
    <row r="10" spans="1:20" ht="30" customHeight="1" x14ac:dyDescent="0.3">
      <c r="A10" s="122">
        <v>4</v>
      </c>
      <c r="B10" s="10" t="s">
        <v>83</v>
      </c>
      <c r="C10" s="10" t="str">
        <f>급여산출기초1!C9</f>
        <v>강명수</v>
      </c>
      <c r="D10" s="11">
        <v>22</v>
      </c>
      <c r="E10" s="12">
        <f>급여산출기초1!E9</f>
        <v>3620300</v>
      </c>
      <c r="F10" s="12">
        <f>급여산출기초1!F9</f>
        <v>43443600</v>
      </c>
      <c r="G10" s="12">
        <f>급여산출기초1!G9</f>
        <v>4344360</v>
      </c>
      <c r="H10" s="12">
        <v>30</v>
      </c>
      <c r="I10" s="12">
        <f>급여산출기초1!I9</f>
        <v>9353880</v>
      </c>
      <c r="J10" s="12">
        <f>급여산출기초1!J9</f>
        <v>1680000</v>
      </c>
      <c r="K10" s="9">
        <f t="shared" si="4"/>
        <v>58821840</v>
      </c>
      <c r="L10" s="44">
        <f t="shared" si="1"/>
        <v>58821840</v>
      </c>
      <c r="M10" s="13">
        <f t="shared" si="2"/>
        <v>2352880</v>
      </c>
      <c r="N10" s="13">
        <f t="shared" si="5"/>
        <v>301640</v>
      </c>
      <c r="O10" s="13">
        <f t="shared" si="6"/>
        <v>2646990</v>
      </c>
      <c r="P10" s="13">
        <f t="shared" si="8"/>
        <v>588220</v>
      </c>
      <c r="Q10" s="13">
        <f t="shared" si="9"/>
        <v>682330</v>
      </c>
      <c r="R10" s="13">
        <f t="shared" si="7"/>
        <v>4901820</v>
      </c>
      <c r="S10" s="44">
        <f t="shared" si="3"/>
        <v>11473880</v>
      </c>
    </row>
    <row r="11" spans="1:20" ht="30" customHeight="1" x14ac:dyDescent="0.3">
      <c r="A11" s="122">
        <v>5</v>
      </c>
      <c r="B11" s="10" t="s">
        <v>45</v>
      </c>
      <c r="C11" s="10" t="str">
        <f>급여산출기초1!C10</f>
        <v>김희련</v>
      </c>
      <c r="D11" s="11">
        <v>15</v>
      </c>
      <c r="E11" s="12">
        <f>급여산출기초1!E10</f>
        <v>3215400</v>
      </c>
      <c r="F11" s="12">
        <f>급여산출기초1!F10</f>
        <v>38584800</v>
      </c>
      <c r="G11" s="12">
        <f>급여산출기초1!G10</f>
        <v>3858480</v>
      </c>
      <c r="H11" s="12">
        <v>30</v>
      </c>
      <c r="I11" s="12">
        <f>급여산출기초1!I10</f>
        <v>8307730</v>
      </c>
      <c r="J11" s="12">
        <f>급여산출기초1!J10</f>
        <v>400000</v>
      </c>
      <c r="K11" s="9">
        <f t="shared" si="4"/>
        <v>51151010</v>
      </c>
      <c r="L11" s="44">
        <f t="shared" si="1"/>
        <v>51151010</v>
      </c>
      <c r="M11" s="13">
        <f t="shared" si="2"/>
        <v>2046050</v>
      </c>
      <c r="N11" s="13">
        <f t="shared" si="5"/>
        <v>262310</v>
      </c>
      <c r="O11" s="13">
        <f t="shared" si="6"/>
        <v>2301800</v>
      </c>
      <c r="P11" s="13">
        <f t="shared" si="8"/>
        <v>511520</v>
      </c>
      <c r="Q11" s="13">
        <f t="shared" si="9"/>
        <v>593350</v>
      </c>
      <c r="R11" s="13">
        <f t="shared" si="7"/>
        <v>4262590</v>
      </c>
      <c r="S11" s="44">
        <f t="shared" si="3"/>
        <v>9977620</v>
      </c>
    </row>
    <row r="12" spans="1:20" ht="30" customHeight="1" x14ac:dyDescent="0.3">
      <c r="A12" s="122">
        <v>6</v>
      </c>
      <c r="B12" s="10" t="s">
        <v>67</v>
      </c>
      <c r="C12" s="10" t="str">
        <f>급여산출기초1!C11</f>
        <v>김희현</v>
      </c>
      <c r="D12" s="11">
        <v>17</v>
      </c>
      <c r="E12" s="12">
        <f>급여산출기초1!E11</f>
        <v>3648200</v>
      </c>
      <c r="F12" s="12">
        <f>급여산출기초1!F11</f>
        <v>43778400</v>
      </c>
      <c r="G12" s="12">
        <f>급여산출기초1!G11</f>
        <v>4377840</v>
      </c>
      <c r="H12" s="12">
        <v>30</v>
      </c>
      <c r="I12" s="12">
        <f>급여산출기초1!I11</f>
        <v>9425970</v>
      </c>
      <c r="J12" s="12">
        <f>급여산출기초1!J11</f>
        <v>0</v>
      </c>
      <c r="K12" s="9">
        <f t="shared" si="4"/>
        <v>57582210</v>
      </c>
      <c r="L12" s="44">
        <f t="shared" si="1"/>
        <v>57582210</v>
      </c>
      <c r="M12" s="13">
        <f t="shared" si="2"/>
        <v>2303290</v>
      </c>
      <c r="N12" s="13">
        <f t="shared" si="5"/>
        <v>295290</v>
      </c>
      <c r="O12" s="13">
        <f t="shared" si="6"/>
        <v>2591200</v>
      </c>
      <c r="P12" s="13">
        <f t="shared" si="8"/>
        <v>575830</v>
      </c>
      <c r="Q12" s="13">
        <f t="shared" si="9"/>
        <v>667950</v>
      </c>
      <c r="R12" s="13">
        <f t="shared" si="7"/>
        <v>4798520</v>
      </c>
      <c r="S12" s="44">
        <f t="shared" si="3"/>
        <v>11232080</v>
      </c>
    </row>
    <row r="13" spans="1:20" ht="30" customHeight="1" x14ac:dyDescent="0.3">
      <c r="A13" s="122">
        <v>7</v>
      </c>
      <c r="B13" s="10" t="s">
        <v>57</v>
      </c>
      <c r="C13" s="10" t="str">
        <f>급여산출기초1!C12</f>
        <v>현명길</v>
      </c>
      <c r="D13" s="11">
        <v>14</v>
      </c>
      <c r="E13" s="12">
        <f>급여산출기초1!E12</f>
        <v>3145700</v>
      </c>
      <c r="F13" s="12">
        <f>급여산출기초1!F12</f>
        <v>37748400</v>
      </c>
      <c r="G13" s="12">
        <f>급여산출기초1!G12</f>
        <v>3774840</v>
      </c>
      <c r="H13" s="12">
        <v>30</v>
      </c>
      <c r="I13" s="12">
        <f>급여산출기초1!I12</f>
        <v>8127640</v>
      </c>
      <c r="J13" s="12">
        <f>급여산출기초1!J12</f>
        <v>840000</v>
      </c>
      <c r="K13" s="9">
        <f t="shared" si="4"/>
        <v>50490880</v>
      </c>
      <c r="L13" s="44">
        <f t="shared" si="1"/>
        <v>50490880</v>
      </c>
      <c r="M13" s="13">
        <f t="shared" si="2"/>
        <v>2019640</v>
      </c>
      <c r="N13" s="13">
        <f t="shared" si="5"/>
        <v>258920</v>
      </c>
      <c r="O13" s="13">
        <f t="shared" si="6"/>
        <v>2272090</v>
      </c>
      <c r="P13" s="13">
        <f t="shared" si="8"/>
        <v>504910</v>
      </c>
      <c r="Q13" s="13">
        <f t="shared" si="9"/>
        <v>585690</v>
      </c>
      <c r="R13" s="13">
        <f t="shared" si="7"/>
        <v>4207580</v>
      </c>
      <c r="S13" s="44">
        <f t="shared" si="3"/>
        <v>9848830</v>
      </c>
    </row>
    <row r="14" spans="1:20" ht="30" customHeight="1" x14ac:dyDescent="0.3">
      <c r="A14" s="122">
        <v>8</v>
      </c>
      <c r="B14" s="10" t="s">
        <v>66</v>
      </c>
      <c r="C14" s="10" t="str">
        <f>급여산출기초1!C13</f>
        <v>손소영</v>
      </c>
      <c r="D14" s="11">
        <v>12</v>
      </c>
      <c r="E14" s="12">
        <f>급여산출기초1!E13</f>
        <v>3019700</v>
      </c>
      <c r="F14" s="12">
        <f>급여산출기초1!F13</f>
        <v>36236400</v>
      </c>
      <c r="G14" s="12">
        <f>급여산출기초1!G13</f>
        <v>3623640</v>
      </c>
      <c r="H14" s="12">
        <v>30</v>
      </c>
      <c r="I14" s="12">
        <f>급여산출기초1!I13</f>
        <v>7802090</v>
      </c>
      <c r="J14" s="12">
        <f>급여산출기초1!J13</f>
        <v>480000</v>
      </c>
      <c r="K14" s="9">
        <f t="shared" si="4"/>
        <v>48142130</v>
      </c>
      <c r="L14" s="44">
        <f t="shared" si="1"/>
        <v>48142130</v>
      </c>
      <c r="M14" s="13">
        <f t="shared" si="2"/>
        <v>1925690</v>
      </c>
      <c r="N14" s="13">
        <f t="shared" si="5"/>
        <v>246880</v>
      </c>
      <c r="O14" s="13">
        <f t="shared" si="6"/>
        <v>2166400</v>
      </c>
      <c r="P14" s="13">
        <f t="shared" si="8"/>
        <v>481430</v>
      </c>
      <c r="Q14" s="13">
        <f t="shared" si="9"/>
        <v>558440</v>
      </c>
      <c r="R14" s="13">
        <f t="shared" si="7"/>
        <v>4011850</v>
      </c>
      <c r="S14" s="44">
        <f t="shared" si="3"/>
        <v>9390690</v>
      </c>
    </row>
    <row r="15" spans="1:20" ht="30" customHeight="1" x14ac:dyDescent="0.3">
      <c r="A15" s="122">
        <v>9</v>
      </c>
      <c r="B15" s="10" t="s">
        <v>38</v>
      </c>
      <c r="C15" s="10" t="str">
        <f>급여산출기초1!C14</f>
        <v>김도윤</v>
      </c>
      <c r="D15" s="11">
        <v>13</v>
      </c>
      <c r="E15" s="12">
        <f>급여산출기초1!E14</f>
        <v>3081600</v>
      </c>
      <c r="F15" s="12">
        <f>급여산출기초1!F14</f>
        <v>36979200</v>
      </c>
      <c r="G15" s="12">
        <f>급여산출기초1!G14</f>
        <v>3697920</v>
      </c>
      <c r="H15" s="12">
        <v>30</v>
      </c>
      <c r="I15" s="12">
        <f>급여산출기초1!I14</f>
        <v>7962020</v>
      </c>
      <c r="J15" s="12">
        <f>급여산출기초1!J14</f>
        <v>0</v>
      </c>
      <c r="K15" s="9">
        <f t="shared" si="4"/>
        <v>48639140</v>
      </c>
      <c r="L15" s="44">
        <f t="shared" si="1"/>
        <v>48639140</v>
      </c>
      <c r="M15" s="13">
        <f t="shared" si="2"/>
        <v>1945570</v>
      </c>
      <c r="N15" s="13">
        <f t="shared" si="5"/>
        <v>249430</v>
      </c>
      <c r="O15" s="13">
        <f t="shared" si="6"/>
        <v>2188770</v>
      </c>
      <c r="P15" s="13">
        <f t="shared" si="8"/>
        <v>486400</v>
      </c>
      <c r="Q15" s="13">
        <f t="shared" si="9"/>
        <v>564210</v>
      </c>
      <c r="R15" s="13">
        <f t="shared" si="7"/>
        <v>4053270</v>
      </c>
      <c r="S15" s="44">
        <f t="shared" si="3"/>
        <v>9487650</v>
      </c>
    </row>
    <row r="16" spans="1:20" ht="30" customHeight="1" x14ac:dyDescent="0.3">
      <c r="A16" s="122">
        <v>10</v>
      </c>
      <c r="B16" s="10" t="s">
        <v>200</v>
      </c>
      <c r="C16" s="10" t="s">
        <v>199</v>
      </c>
      <c r="D16" s="11">
        <v>7</v>
      </c>
      <c r="E16" s="12">
        <f>급여산출기초1!E15</f>
        <v>2739600</v>
      </c>
      <c r="F16" s="12">
        <f>급여산출기초1!F15</f>
        <v>32875200</v>
      </c>
      <c r="G16" s="12">
        <f>급여산출기초1!G15</f>
        <v>3287520</v>
      </c>
      <c r="H16" s="12">
        <v>30</v>
      </c>
      <c r="I16" s="12">
        <f>급여산출기초1!I15</f>
        <v>7078390</v>
      </c>
      <c r="J16" s="12">
        <f>급여산출기초1!J15</f>
        <v>1680000</v>
      </c>
      <c r="K16" s="9">
        <f t="shared" si="4"/>
        <v>44921110</v>
      </c>
      <c r="L16" s="44">
        <f t="shared" si="1"/>
        <v>44921110</v>
      </c>
      <c r="M16" s="13">
        <f t="shared" si="2"/>
        <v>1796850</v>
      </c>
      <c r="N16" s="13">
        <f t="shared" si="5"/>
        <v>230360</v>
      </c>
      <c r="O16" s="13">
        <f t="shared" si="6"/>
        <v>2021450</v>
      </c>
      <c r="P16" s="13">
        <f t="shared" si="8"/>
        <v>449220</v>
      </c>
      <c r="Q16" s="13">
        <f t="shared" si="9"/>
        <v>521080</v>
      </c>
      <c r="R16" s="13">
        <f t="shared" si="7"/>
        <v>3743430</v>
      </c>
      <c r="S16" s="44">
        <f t="shared" si="3"/>
        <v>8762390</v>
      </c>
    </row>
    <row r="17" spans="1:19" ht="27.75" customHeight="1" x14ac:dyDescent="0.3">
      <c r="A17" s="122">
        <v>11</v>
      </c>
      <c r="B17" s="10" t="s">
        <v>85</v>
      </c>
      <c r="C17" s="10" t="str">
        <f>급여산출기초1!C16</f>
        <v>김소영</v>
      </c>
      <c r="D17" s="11">
        <v>8</v>
      </c>
      <c r="E17" s="12">
        <f>급여산출기초1!E16</f>
        <v>2739600</v>
      </c>
      <c r="F17" s="12">
        <f>급여산출기초1!F16</f>
        <v>32875200</v>
      </c>
      <c r="G17" s="12">
        <f>급여산출기초1!G16</f>
        <v>3287520</v>
      </c>
      <c r="H17" s="12">
        <v>30</v>
      </c>
      <c r="I17" s="12">
        <f>급여산출기초1!I16</f>
        <v>7078390</v>
      </c>
      <c r="J17" s="12">
        <f>급여산출기초1!J16</f>
        <v>1200000</v>
      </c>
      <c r="K17" s="9">
        <f t="shared" si="4"/>
        <v>44441110</v>
      </c>
      <c r="L17" s="44">
        <f t="shared" ref="L17:L18" si="10">K17</f>
        <v>44441110</v>
      </c>
      <c r="M17" s="13">
        <f t="shared" si="2"/>
        <v>1777650</v>
      </c>
      <c r="N17" s="13">
        <f t="shared" si="5"/>
        <v>227900</v>
      </c>
      <c r="O17" s="13">
        <f t="shared" si="6"/>
        <v>1999850</v>
      </c>
      <c r="P17" s="13">
        <f t="shared" si="8"/>
        <v>444420</v>
      </c>
      <c r="Q17" s="13">
        <f t="shared" si="9"/>
        <v>515510</v>
      </c>
      <c r="R17" s="13">
        <f t="shared" si="7"/>
        <v>3703430</v>
      </c>
      <c r="S17" s="44">
        <f t="shared" si="3"/>
        <v>8668760</v>
      </c>
    </row>
    <row r="18" spans="1:19" ht="27.75" customHeight="1" x14ac:dyDescent="0.3">
      <c r="A18" s="122">
        <v>12</v>
      </c>
      <c r="B18" s="10" t="s">
        <v>84</v>
      </c>
      <c r="C18" s="10" t="str">
        <f>급여산출기초1!C17</f>
        <v>김상철</v>
      </c>
      <c r="D18" s="11">
        <v>7</v>
      </c>
      <c r="E18" s="12">
        <f>급여산출기초1!E17</f>
        <v>2645000</v>
      </c>
      <c r="F18" s="12">
        <f>급여산출기초1!F17</f>
        <v>31740000</v>
      </c>
      <c r="G18" s="12">
        <f>급여산출기초1!G17</f>
        <v>3174000</v>
      </c>
      <c r="H18" s="12">
        <v>30</v>
      </c>
      <c r="I18" s="12">
        <f>급여산출기초1!I17</f>
        <v>6833970</v>
      </c>
      <c r="J18" s="12">
        <f>급여산출기초1!J17</f>
        <v>480000</v>
      </c>
      <c r="K18" s="9">
        <f t="shared" si="4"/>
        <v>42227970</v>
      </c>
      <c r="L18" s="44">
        <f t="shared" si="10"/>
        <v>42227970</v>
      </c>
      <c r="M18" s="13">
        <f t="shared" si="2"/>
        <v>1689120</v>
      </c>
      <c r="N18" s="13">
        <f t="shared" si="5"/>
        <v>216550</v>
      </c>
      <c r="O18" s="13">
        <f t="shared" si="6"/>
        <v>1900260</v>
      </c>
      <c r="P18" s="13">
        <f t="shared" si="8"/>
        <v>422280</v>
      </c>
      <c r="Q18" s="13">
        <f t="shared" si="9"/>
        <v>489840</v>
      </c>
      <c r="R18" s="13">
        <f t="shared" si="7"/>
        <v>3519000</v>
      </c>
      <c r="S18" s="44">
        <f t="shared" si="3"/>
        <v>8237050</v>
      </c>
    </row>
    <row r="19" spans="1:19" ht="28.5" customHeight="1" x14ac:dyDescent="0.3">
      <c r="A19" s="122">
        <v>13</v>
      </c>
      <c r="B19" s="10" t="s">
        <v>87</v>
      </c>
      <c r="C19" s="10" t="str">
        <f>급여산출기초1!C18</f>
        <v>정다솔</v>
      </c>
      <c r="D19" s="11">
        <v>6</v>
      </c>
      <c r="E19" s="12">
        <f>급여산출기초1!E18</f>
        <v>2544400</v>
      </c>
      <c r="F19" s="12">
        <f>급여산출기초1!F18</f>
        <v>30532800</v>
      </c>
      <c r="G19" s="12">
        <f>급여산출기초1!G18</f>
        <v>3053280</v>
      </c>
      <c r="H19" s="12">
        <v>30</v>
      </c>
      <c r="I19" s="12">
        <f>급여산출기초1!I18</f>
        <v>6574040</v>
      </c>
      <c r="J19" s="12">
        <f>급여산출기초1!J18</f>
        <v>840000</v>
      </c>
      <c r="K19" s="9">
        <f t="shared" si="4"/>
        <v>41000120</v>
      </c>
      <c r="L19" s="44">
        <f t="shared" ref="L19:L20" si="11">K19</f>
        <v>41000120</v>
      </c>
      <c r="M19" s="13">
        <f t="shared" si="2"/>
        <v>1640010</v>
      </c>
      <c r="N19" s="13">
        <f t="shared" si="5"/>
        <v>210250</v>
      </c>
      <c r="O19" s="13">
        <f t="shared" si="6"/>
        <v>1845010</v>
      </c>
      <c r="P19" s="13">
        <f t="shared" si="8"/>
        <v>410010</v>
      </c>
      <c r="Q19" s="13">
        <f t="shared" si="9"/>
        <v>475600</v>
      </c>
      <c r="R19" s="13">
        <f t="shared" si="7"/>
        <v>3416680</v>
      </c>
      <c r="S19" s="44">
        <f t="shared" si="3"/>
        <v>7997560</v>
      </c>
    </row>
    <row r="20" spans="1:19" ht="25.5" customHeight="1" x14ac:dyDescent="0.3">
      <c r="A20" s="122">
        <v>14</v>
      </c>
      <c r="B20" s="10" t="s">
        <v>65</v>
      </c>
      <c r="C20" s="10" t="str">
        <f>급여산출기초1!C19</f>
        <v>정정덕</v>
      </c>
      <c r="D20" s="11">
        <v>6</v>
      </c>
      <c r="E20" s="12">
        <f>급여산출기초1!E19</f>
        <v>2452800</v>
      </c>
      <c r="F20" s="12">
        <f>급여산출기초1!F19</f>
        <v>29433600</v>
      </c>
      <c r="G20" s="12">
        <f>급여산출기초1!G19</f>
        <v>2943360</v>
      </c>
      <c r="H20" s="12">
        <v>30</v>
      </c>
      <c r="I20" s="12">
        <f>급여산출기초1!I19</f>
        <v>6337370</v>
      </c>
      <c r="J20" s="12">
        <f>급여산출기초1!J19</f>
        <v>0</v>
      </c>
      <c r="K20" s="9">
        <f t="shared" si="4"/>
        <v>38714330</v>
      </c>
      <c r="L20" s="44">
        <f t="shared" si="11"/>
        <v>38714330</v>
      </c>
      <c r="M20" s="13">
        <f t="shared" si="2"/>
        <v>1548580</v>
      </c>
      <c r="N20" s="13">
        <f t="shared" si="5"/>
        <v>198530</v>
      </c>
      <c r="O20" s="13">
        <f t="shared" si="6"/>
        <v>1742150</v>
      </c>
      <c r="P20" s="13">
        <f t="shared" si="8"/>
        <v>387150</v>
      </c>
      <c r="Q20" s="13">
        <f t="shared" si="9"/>
        <v>449080</v>
      </c>
      <c r="R20" s="13">
        <f t="shared" si="7"/>
        <v>3226200</v>
      </c>
      <c r="S20" s="44">
        <f t="shared" si="3"/>
        <v>7551690</v>
      </c>
    </row>
    <row r="21" spans="1:19" ht="30" customHeight="1" x14ac:dyDescent="0.3">
      <c r="A21" s="122">
        <v>15</v>
      </c>
      <c r="B21" s="10" t="s">
        <v>157</v>
      </c>
      <c r="C21" s="10" t="str">
        <f>급여산출기초1!C20</f>
        <v>한민정</v>
      </c>
      <c r="D21" s="11">
        <v>4</v>
      </c>
      <c r="E21" s="12">
        <f>급여산출기초1!E20</f>
        <v>2224800</v>
      </c>
      <c r="F21" s="12">
        <f>급여산출기초1!F20</f>
        <v>26697600</v>
      </c>
      <c r="G21" s="12">
        <f>급여산출기초1!G20</f>
        <v>2669760</v>
      </c>
      <c r="H21" s="12">
        <v>30</v>
      </c>
      <c r="I21" s="12">
        <f>급여산출기초1!I20</f>
        <v>5748280</v>
      </c>
      <c r="J21" s="12">
        <f>급여산출기초1!J20</f>
        <v>720000</v>
      </c>
      <c r="K21" s="9">
        <f t="shared" si="4"/>
        <v>35835640</v>
      </c>
      <c r="L21" s="44">
        <f>K21</f>
        <v>35835640</v>
      </c>
      <c r="M21" s="13">
        <f t="shared" si="2"/>
        <v>1433430</v>
      </c>
      <c r="N21" s="13">
        <f t="shared" si="5"/>
        <v>183770</v>
      </c>
      <c r="O21" s="13">
        <f t="shared" si="6"/>
        <v>1612610</v>
      </c>
      <c r="P21" s="13">
        <f t="shared" si="8"/>
        <v>358360</v>
      </c>
      <c r="Q21" s="13">
        <f t="shared" si="9"/>
        <v>415690</v>
      </c>
      <c r="R21" s="13">
        <f t="shared" si="7"/>
        <v>2986310</v>
      </c>
      <c r="S21" s="44">
        <f>SUM(M21:R21)</f>
        <v>6990170</v>
      </c>
    </row>
    <row r="24" spans="1:19" x14ac:dyDescent="0.3">
      <c r="A24" s="12"/>
    </row>
  </sheetData>
  <mergeCells count="15">
    <mergeCell ref="A1:S1"/>
    <mergeCell ref="K3:K5"/>
    <mergeCell ref="L3:L5"/>
    <mergeCell ref="M3:S4"/>
    <mergeCell ref="H3:I3"/>
    <mergeCell ref="G3:G5"/>
    <mergeCell ref="H4:H5"/>
    <mergeCell ref="I4:I5"/>
    <mergeCell ref="J3:J5"/>
    <mergeCell ref="A6:D6"/>
    <mergeCell ref="A3:A5"/>
    <mergeCell ref="B3:B5"/>
    <mergeCell ref="D3:D5"/>
    <mergeCell ref="E3:F4"/>
    <mergeCell ref="C3:C5"/>
  </mergeCells>
  <phoneticPr fontId="19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1"/>
  <sheetViews>
    <sheetView zoomScaleNormal="100" zoomScaleSheetLayoutView="75" workbookViewId="0">
      <pane xSplit="3" ySplit="4" topLeftCell="D5" activePane="bottomRight" state="frozen"/>
      <selection pane="topRight"/>
      <selection pane="bottomLeft"/>
      <selection pane="bottomRight" activeCell="M4" sqref="M4"/>
    </sheetView>
  </sheetViews>
  <sheetFormatPr defaultColWidth="8.875" defaultRowHeight="16.5" x14ac:dyDescent="0.3"/>
  <cols>
    <col min="1" max="1" width="5.75" style="45" customWidth="1"/>
    <col min="2" max="2" width="16.25" style="46" customWidth="1"/>
    <col min="3" max="3" width="9.25" style="46" bestFit="1" customWidth="1"/>
    <col min="4" max="4" width="7.75" style="46" customWidth="1"/>
    <col min="5" max="5" width="15" style="49" customWidth="1"/>
    <col min="6" max="6" width="16.625" style="49" customWidth="1"/>
    <col min="7" max="7" width="14.125" style="49" customWidth="1"/>
    <col min="8" max="8" width="12.125" style="49" customWidth="1"/>
    <col min="9" max="9" width="14.125" style="49" bestFit="1" customWidth="1"/>
    <col min="10" max="11" width="14.5" style="49" bestFit="1" customWidth="1"/>
    <col min="12" max="12" width="18.375" style="50" bestFit="1" customWidth="1"/>
    <col min="13" max="13" width="18.375" style="49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67" t="s">
        <v>196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</row>
    <row r="2" spans="1:13" ht="24.75" customHeight="1" x14ac:dyDescent="0.15">
      <c r="A2" s="269" t="s">
        <v>82</v>
      </c>
      <c r="B2" s="269"/>
      <c r="C2" s="62"/>
      <c r="E2" s="47"/>
      <c r="F2" s="47"/>
      <c r="G2" s="47"/>
      <c r="H2" s="48"/>
      <c r="I2" s="48"/>
      <c r="M2" s="5" t="s">
        <v>48</v>
      </c>
    </row>
    <row r="3" spans="1:13" ht="30" customHeight="1" x14ac:dyDescent="0.3">
      <c r="A3" s="52" t="s">
        <v>151</v>
      </c>
      <c r="B3" s="52" t="s">
        <v>155</v>
      </c>
      <c r="C3" s="52" t="s">
        <v>136</v>
      </c>
      <c r="D3" s="52" t="s">
        <v>161</v>
      </c>
      <c r="E3" s="52" t="s">
        <v>126</v>
      </c>
      <c r="F3" s="58" t="s">
        <v>78</v>
      </c>
      <c r="G3" s="52" t="s">
        <v>71</v>
      </c>
      <c r="H3" s="52" t="s">
        <v>77</v>
      </c>
      <c r="I3" s="52" t="s">
        <v>54</v>
      </c>
      <c r="J3" s="53" t="s">
        <v>81</v>
      </c>
      <c r="K3" s="53" t="s">
        <v>160</v>
      </c>
      <c r="L3" s="54" t="s">
        <v>132</v>
      </c>
      <c r="M3" s="53" t="s">
        <v>50</v>
      </c>
    </row>
    <row r="4" spans="1:13" ht="30" customHeight="1" x14ac:dyDescent="0.3">
      <c r="A4" s="284" t="s">
        <v>163</v>
      </c>
      <c r="B4" s="284"/>
      <c r="C4" s="284"/>
      <c r="D4" s="284"/>
      <c r="E4" s="55">
        <f t="shared" ref="E4:M4" si="0">SUM(E5:E19)</f>
        <v>48592000</v>
      </c>
      <c r="F4" s="55">
        <f t="shared" si="0"/>
        <v>583104000</v>
      </c>
      <c r="G4" s="55">
        <f t="shared" si="0"/>
        <v>58310400</v>
      </c>
      <c r="H4" s="55">
        <f t="shared" si="0"/>
        <v>9760000</v>
      </c>
      <c r="I4" s="55">
        <f t="shared" si="0"/>
        <v>96218680</v>
      </c>
      <c r="J4" s="55">
        <f t="shared" si="0"/>
        <v>164289080</v>
      </c>
      <c r="K4" s="55">
        <f t="shared" si="0"/>
        <v>747393080</v>
      </c>
      <c r="L4" s="55">
        <f t="shared" si="0"/>
        <v>81954050</v>
      </c>
      <c r="M4" s="55">
        <f t="shared" si="0"/>
        <v>665439030</v>
      </c>
    </row>
    <row r="5" spans="1:13" ht="30" customHeight="1" x14ac:dyDescent="0.3">
      <c r="A5" s="10">
        <v>1</v>
      </c>
      <c r="B5" s="10" t="s">
        <v>72</v>
      </c>
      <c r="C5" s="10" t="s">
        <v>146</v>
      </c>
      <c r="D5" s="11">
        <f>급여산출기초1!D6</f>
        <v>28</v>
      </c>
      <c r="E5" s="12">
        <f>급여산출기초1!E6</f>
        <v>5403200</v>
      </c>
      <c r="F5" s="12">
        <f>급여산출기초1!F6</f>
        <v>64838400</v>
      </c>
      <c r="G5" s="12">
        <f>급여산출기초1!G6</f>
        <v>6483840</v>
      </c>
      <c r="H5" s="12">
        <f>급여산출기초1!J6</f>
        <v>480000</v>
      </c>
      <c r="I5" s="51">
        <f>급여산출기초1!I6</f>
        <v>0</v>
      </c>
      <c r="J5" s="51">
        <f t="shared" ref="J5:J17" si="1">SUM(G5:I5)</f>
        <v>6963840</v>
      </c>
      <c r="K5" s="51">
        <f t="shared" ref="K5:K17" si="2">F5+J5</f>
        <v>71802240</v>
      </c>
      <c r="L5" s="51">
        <f>사회보험!M7+사회보험!N7+사회보험!O7+사회보험!P7+사회보험!Q7</f>
        <v>6471410</v>
      </c>
      <c r="M5" s="51">
        <f t="shared" ref="M5:M14" si="3">K5-L5</f>
        <v>65330830</v>
      </c>
    </row>
    <row r="6" spans="1:13" ht="30" customHeight="1" x14ac:dyDescent="0.3">
      <c r="A6" s="10">
        <v>2</v>
      </c>
      <c r="B6" s="10" t="s">
        <v>51</v>
      </c>
      <c r="C6" s="10" t="s">
        <v>144</v>
      </c>
      <c r="D6" s="11">
        <f>급여산출기초1!D7</f>
        <v>26</v>
      </c>
      <c r="E6" s="12">
        <f>급여산출기초1!E7</f>
        <v>4444100</v>
      </c>
      <c r="F6" s="12">
        <f>급여산출기초1!F7</f>
        <v>53329200</v>
      </c>
      <c r="G6" s="12">
        <f>급여산출기초1!G7</f>
        <v>5332920</v>
      </c>
      <c r="H6" s="12">
        <f>급여산출기초1!J7</f>
        <v>480000</v>
      </c>
      <c r="I6" s="51">
        <f>급여산출기초1!I7</f>
        <v>3061960</v>
      </c>
      <c r="J6" s="51">
        <f t="shared" si="1"/>
        <v>8874880</v>
      </c>
      <c r="K6" s="51">
        <f t="shared" si="2"/>
        <v>62204080</v>
      </c>
      <c r="L6" s="51">
        <f>사회보험!M8+사회보험!N8+사회보험!O8+사회보험!P8+사회보험!Q8</f>
        <v>6949960</v>
      </c>
      <c r="M6" s="51">
        <f t="shared" si="3"/>
        <v>55254120</v>
      </c>
    </row>
    <row r="7" spans="1:13" ht="30" customHeight="1" x14ac:dyDescent="0.3">
      <c r="A7" s="10">
        <v>3</v>
      </c>
      <c r="B7" s="10" t="s">
        <v>173</v>
      </c>
      <c r="C7" s="10" t="s">
        <v>142</v>
      </c>
      <c r="D7" s="11">
        <f>급여산출기초1!D8</f>
        <v>24</v>
      </c>
      <c r="E7" s="12">
        <f>급여산출기초1!E8</f>
        <v>3667600</v>
      </c>
      <c r="F7" s="12">
        <f>급여산출기초1!F8</f>
        <v>44011200</v>
      </c>
      <c r="G7" s="12">
        <f>급여산출기초1!G8</f>
        <v>4401120</v>
      </c>
      <c r="H7" s="12">
        <f>급여산출기초1!J8</f>
        <v>480000</v>
      </c>
      <c r="I7" s="51">
        <f>급여산출기초1!I8</f>
        <v>2526950</v>
      </c>
      <c r="J7" s="51">
        <f t="shared" si="1"/>
        <v>7408070</v>
      </c>
      <c r="K7" s="51">
        <f t="shared" si="2"/>
        <v>51419270</v>
      </c>
      <c r="L7" s="51">
        <f>사회보험!M9+사회보험!N9+사회보험!O9+사회보험!P9+사회보험!Q9</f>
        <v>5744990</v>
      </c>
      <c r="M7" s="51">
        <f t="shared" si="3"/>
        <v>45674280</v>
      </c>
    </row>
    <row r="8" spans="1:13" ht="30" customHeight="1" x14ac:dyDescent="0.3">
      <c r="A8" s="10">
        <v>4</v>
      </c>
      <c r="B8" s="10" t="s">
        <v>60</v>
      </c>
      <c r="C8" s="10" t="s">
        <v>158</v>
      </c>
      <c r="D8" s="11">
        <f>급여산출기초1!D9</f>
        <v>23</v>
      </c>
      <c r="E8" s="12">
        <f>급여산출기초1!E9</f>
        <v>3620300</v>
      </c>
      <c r="F8" s="12">
        <f>급여산출기초1!F9</f>
        <v>43443600</v>
      </c>
      <c r="G8" s="12">
        <f>급여산출기초1!G9</f>
        <v>4344360</v>
      </c>
      <c r="H8" s="12">
        <f>급여산출기초1!J9</f>
        <v>1680000</v>
      </c>
      <c r="I8" s="51">
        <f>급여산출기초1!I9</f>
        <v>9353880</v>
      </c>
      <c r="J8" s="51">
        <f t="shared" si="1"/>
        <v>15378240</v>
      </c>
      <c r="K8" s="51">
        <f t="shared" si="2"/>
        <v>58821840</v>
      </c>
      <c r="L8" s="51">
        <f>사회보험!M10+사회보험!N10+사회보험!O10+사회보험!P10+사회보험!Q10</f>
        <v>6572060</v>
      </c>
      <c r="M8" s="51">
        <f t="shared" si="3"/>
        <v>52249780</v>
      </c>
    </row>
    <row r="9" spans="1:13" ht="30" customHeight="1" x14ac:dyDescent="0.3">
      <c r="A9" s="10">
        <v>5</v>
      </c>
      <c r="B9" s="10" t="s">
        <v>60</v>
      </c>
      <c r="C9" s="10" t="s">
        <v>152</v>
      </c>
      <c r="D9" s="11">
        <f>급여산출기초1!D10</f>
        <v>16</v>
      </c>
      <c r="E9" s="12">
        <f>급여산출기초1!E10</f>
        <v>3215400</v>
      </c>
      <c r="F9" s="12">
        <f>급여산출기초1!F10</f>
        <v>38584800</v>
      </c>
      <c r="G9" s="12">
        <f>급여산출기초1!G10</f>
        <v>3858480</v>
      </c>
      <c r="H9" s="12">
        <f>급여산출기초1!J10</f>
        <v>400000</v>
      </c>
      <c r="I9" s="51">
        <f>급여산출기초1!I10</f>
        <v>8307730</v>
      </c>
      <c r="J9" s="51">
        <f t="shared" si="1"/>
        <v>12566210</v>
      </c>
      <c r="K9" s="51">
        <f t="shared" si="2"/>
        <v>51151010</v>
      </c>
      <c r="L9" s="51">
        <f>사회보험!M11+사회보험!N11+사회보험!O11+사회보험!P11+사회보험!Q11</f>
        <v>5715030</v>
      </c>
      <c r="M9" s="51">
        <f t="shared" si="3"/>
        <v>45435980</v>
      </c>
    </row>
    <row r="10" spans="1:13" ht="30" customHeight="1" x14ac:dyDescent="0.3">
      <c r="A10" s="10">
        <v>6</v>
      </c>
      <c r="B10" s="10" t="s">
        <v>60</v>
      </c>
      <c r="C10" s="10" t="s">
        <v>153</v>
      </c>
      <c r="D10" s="11">
        <f>급여산출기초1!D11</f>
        <v>18</v>
      </c>
      <c r="E10" s="12">
        <f>급여산출기초1!E11</f>
        <v>3648200</v>
      </c>
      <c r="F10" s="12">
        <f>급여산출기초1!F11</f>
        <v>43778400</v>
      </c>
      <c r="G10" s="12">
        <f>급여산출기초1!G11</f>
        <v>4377840</v>
      </c>
      <c r="H10" s="12">
        <f>급여산출기초1!J11</f>
        <v>0</v>
      </c>
      <c r="I10" s="51">
        <f>급여산출기초1!I11</f>
        <v>9425970</v>
      </c>
      <c r="J10" s="51">
        <f t="shared" si="1"/>
        <v>13803810</v>
      </c>
      <c r="K10" s="51">
        <f t="shared" si="2"/>
        <v>57582210</v>
      </c>
      <c r="L10" s="51">
        <f>사회보험!M12+사회보험!N12+사회보험!O12+사회보험!P12+사회보험!Q12</f>
        <v>6433560</v>
      </c>
      <c r="M10" s="51">
        <f t="shared" si="3"/>
        <v>51148650</v>
      </c>
    </row>
    <row r="11" spans="1:13" ht="30" customHeight="1" x14ac:dyDescent="0.3">
      <c r="A11" s="10">
        <v>7</v>
      </c>
      <c r="B11" s="10" t="s">
        <v>60</v>
      </c>
      <c r="C11" s="10" t="s">
        <v>140</v>
      </c>
      <c r="D11" s="11">
        <f>급여산출기초1!D12</f>
        <v>15</v>
      </c>
      <c r="E11" s="12">
        <f>급여산출기초1!E12</f>
        <v>3145700</v>
      </c>
      <c r="F11" s="12">
        <f>급여산출기초1!F12</f>
        <v>37748400</v>
      </c>
      <c r="G11" s="12">
        <f>급여산출기초1!G12</f>
        <v>3774840</v>
      </c>
      <c r="H11" s="12">
        <f>급여산출기초1!J12</f>
        <v>840000</v>
      </c>
      <c r="I11" s="51">
        <f>급여산출기초1!I12</f>
        <v>8127640</v>
      </c>
      <c r="J11" s="51">
        <f t="shared" si="1"/>
        <v>12742480</v>
      </c>
      <c r="K11" s="51">
        <f t="shared" si="2"/>
        <v>50490880</v>
      </c>
      <c r="L11" s="51">
        <f>사회보험!M13+사회보험!N13+사회보험!O13+사회보험!P13+사회보험!Q13</f>
        <v>5641250</v>
      </c>
      <c r="M11" s="51">
        <f t="shared" si="3"/>
        <v>44849630</v>
      </c>
    </row>
    <row r="12" spans="1:13" ht="30" customHeight="1" x14ac:dyDescent="0.3">
      <c r="A12" s="10">
        <v>8</v>
      </c>
      <c r="B12" s="10" t="s">
        <v>60</v>
      </c>
      <c r="C12" s="10" t="s">
        <v>156</v>
      </c>
      <c r="D12" s="11">
        <f>급여산출기초1!D13</f>
        <v>13</v>
      </c>
      <c r="E12" s="12">
        <f>급여산출기초1!E13</f>
        <v>3019700</v>
      </c>
      <c r="F12" s="12">
        <f>급여산출기초1!F13</f>
        <v>36236400</v>
      </c>
      <c r="G12" s="12">
        <f>급여산출기초1!G13</f>
        <v>3623640</v>
      </c>
      <c r="H12" s="12">
        <f>급여산출기초1!J13</f>
        <v>480000</v>
      </c>
      <c r="I12" s="51">
        <f>급여산출기초1!I13</f>
        <v>7802090</v>
      </c>
      <c r="J12" s="51">
        <f t="shared" si="1"/>
        <v>11905730</v>
      </c>
      <c r="K12" s="51">
        <f t="shared" si="2"/>
        <v>48142130</v>
      </c>
      <c r="L12" s="51">
        <f>사회보험!M14+사회보험!N14+사회보험!O14+사회보험!P14+사회보험!Q14</f>
        <v>5378840</v>
      </c>
      <c r="M12" s="51">
        <f t="shared" si="3"/>
        <v>42763290</v>
      </c>
    </row>
    <row r="13" spans="1:13" ht="30" customHeight="1" x14ac:dyDescent="0.3">
      <c r="A13" s="10">
        <v>9</v>
      </c>
      <c r="B13" s="10" t="s">
        <v>60</v>
      </c>
      <c r="C13" s="10" t="s">
        <v>145</v>
      </c>
      <c r="D13" s="11">
        <f>급여산출기초1!D14</f>
        <v>14</v>
      </c>
      <c r="E13" s="12">
        <f>급여산출기초1!E14</f>
        <v>3081600</v>
      </c>
      <c r="F13" s="12">
        <f>급여산출기초1!F14</f>
        <v>36979200</v>
      </c>
      <c r="G13" s="12">
        <f>급여산출기초1!G14</f>
        <v>3697920</v>
      </c>
      <c r="H13" s="12">
        <f>급여산출기초1!J14</f>
        <v>0</v>
      </c>
      <c r="I13" s="51">
        <f>급여산출기초1!I14</f>
        <v>7962020</v>
      </c>
      <c r="J13" s="51">
        <f t="shared" si="1"/>
        <v>11659940</v>
      </c>
      <c r="K13" s="51">
        <f t="shared" si="2"/>
        <v>48639140</v>
      </c>
      <c r="L13" s="51">
        <f>사회보험!M15+사회보험!N15+사회보험!O15+사회보험!P15+사회보험!Q15</f>
        <v>5434380</v>
      </c>
      <c r="M13" s="51">
        <f t="shared" si="3"/>
        <v>43204760</v>
      </c>
    </row>
    <row r="14" spans="1:13" ht="30" customHeight="1" x14ac:dyDescent="0.3">
      <c r="A14" s="10">
        <v>10</v>
      </c>
      <c r="B14" s="10" t="s">
        <v>60</v>
      </c>
      <c r="C14" s="10" t="s">
        <v>199</v>
      </c>
      <c r="D14" s="11">
        <v>7</v>
      </c>
      <c r="E14" s="12">
        <f>급여산출기초1!E15</f>
        <v>2739600</v>
      </c>
      <c r="F14" s="12">
        <f>급여산출기초1!F15</f>
        <v>32875200</v>
      </c>
      <c r="G14" s="12">
        <f>급여산출기초1!G15</f>
        <v>3287520</v>
      </c>
      <c r="H14" s="12">
        <f>급여산출기초1!J15</f>
        <v>1680000</v>
      </c>
      <c r="I14" s="51">
        <f>급여산출기초1!I15</f>
        <v>7078390</v>
      </c>
      <c r="J14" s="51">
        <f t="shared" si="1"/>
        <v>12045910</v>
      </c>
      <c r="K14" s="51">
        <f t="shared" si="2"/>
        <v>44921110</v>
      </c>
      <c r="L14" s="51">
        <f>사회보험!M16+사회보험!N16+사회보험!O16+사회보험!P16+사회보험!Q16</f>
        <v>5018960</v>
      </c>
      <c r="M14" s="51">
        <f t="shared" si="3"/>
        <v>39902150</v>
      </c>
    </row>
    <row r="15" spans="1:13" ht="30" customHeight="1" x14ac:dyDescent="0.3">
      <c r="A15" s="10">
        <v>11</v>
      </c>
      <c r="B15" s="10" t="s">
        <v>60</v>
      </c>
      <c r="C15" s="10" t="s">
        <v>154</v>
      </c>
      <c r="D15" s="11">
        <f>급여산출기초1!D16</f>
        <v>9</v>
      </c>
      <c r="E15" s="12">
        <f>급여산출기초1!E16</f>
        <v>2739600</v>
      </c>
      <c r="F15" s="12">
        <f>급여산출기초1!F16</f>
        <v>32875200</v>
      </c>
      <c r="G15" s="12">
        <f>급여산출기초1!G16</f>
        <v>3287520</v>
      </c>
      <c r="H15" s="12">
        <f>급여산출기초1!J16</f>
        <v>1200000</v>
      </c>
      <c r="I15" s="51">
        <f>급여산출기초1!I16</f>
        <v>7078390</v>
      </c>
      <c r="J15" s="51">
        <f t="shared" si="1"/>
        <v>11565910</v>
      </c>
      <c r="K15" s="51">
        <f t="shared" si="2"/>
        <v>44441110</v>
      </c>
      <c r="L15" s="51">
        <f>사회보험!M17+사회보험!N17+사회보험!O17+사회보험!P17+사회보험!Q17</f>
        <v>4965330</v>
      </c>
      <c r="M15" s="51">
        <f t="shared" ref="M15:M17" si="4">K15-L15</f>
        <v>39475780</v>
      </c>
    </row>
    <row r="16" spans="1:13" ht="31.5" customHeight="1" x14ac:dyDescent="0.3">
      <c r="A16" s="10">
        <v>12</v>
      </c>
      <c r="B16" s="10" t="s">
        <v>60</v>
      </c>
      <c r="C16" s="10" t="s">
        <v>180</v>
      </c>
      <c r="D16" s="11">
        <f>급여산출기초1!D17</f>
        <v>8</v>
      </c>
      <c r="E16" s="12">
        <f>급여산출기초1!E17</f>
        <v>2645000</v>
      </c>
      <c r="F16" s="12">
        <f>급여산출기초1!F17</f>
        <v>31740000</v>
      </c>
      <c r="G16" s="12">
        <f>급여산출기초1!G17</f>
        <v>3174000</v>
      </c>
      <c r="H16" s="12">
        <f>급여산출기초1!J17</f>
        <v>480000</v>
      </c>
      <c r="I16" s="51">
        <f>급여산출기초1!I17</f>
        <v>6833970</v>
      </c>
      <c r="J16" s="51">
        <f>SUM(G16:I16)</f>
        <v>10487970</v>
      </c>
      <c r="K16" s="51">
        <f>F16+J16</f>
        <v>42227970</v>
      </c>
      <c r="L16" s="51">
        <f>사회보험!M18+사회보험!N18+사회보험!O18+사회보험!P18+사회보험!Q18</f>
        <v>4718050</v>
      </c>
      <c r="M16" s="51">
        <f>K16-L16</f>
        <v>37509920</v>
      </c>
    </row>
    <row r="17" spans="1:13" ht="29.25" customHeight="1" x14ac:dyDescent="0.3">
      <c r="A17" s="10">
        <v>13</v>
      </c>
      <c r="B17" s="10" t="s">
        <v>60</v>
      </c>
      <c r="C17" s="10" t="s">
        <v>147</v>
      </c>
      <c r="D17" s="11">
        <f>급여산출기초1!D18</f>
        <v>7</v>
      </c>
      <c r="E17" s="12">
        <f>급여산출기초1!E18</f>
        <v>2544400</v>
      </c>
      <c r="F17" s="12">
        <f>급여산출기초1!F18</f>
        <v>30532800</v>
      </c>
      <c r="G17" s="12">
        <f>급여산출기초1!G18</f>
        <v>3053280</v>
      </c>
      <c r="H17" s="12">
        <f>급여산출기초1!J18</f>
        <v>840000</v>
      </c>
      <c r="I17" s="51">
        <f>급여산출기초1!I18</f>
        <v>6574040</v>
      </c>
      <c r="J17" s="51">
        <f t="shared" si="1"/>
        <v>10467320</v>
      </c>
      <c r="K17" s="51">
        <f t="shared" si="2"/>
        <v>41000120</v>
      </c>
      <c r="L17" s="51">
        <f>사회보험!M19+사회보험!N19+사회보험!O19+사회보험!P19+사회보험!Q19</f>
        <v>4580880</v>
      </c>
      <c r="M17" s="51">
        <f t="shared" si="4"/>
        <v>36419240</v>
      </c>
    </row>
    <row r="18" spans="1:13" ht="31.5" customHeight="1" x14ac:dyDescent="0.3">
      <c r="A18" s="10">
        <v>14</v>
      </c>
      <c r="B18" s="10" t="s">
        <v>60</v>
      </c>
      <c r="C18" s="10" t="s">
        <v>181</v>
      </c>
      <c r="D18" s="11">
        <f>급여산출기초1!D19</f>
        <v>6</v>
      </c>
      <c r="E18" s="12">
        <f>급여산출기초1!E19</f>
        <v>2452800</v>
      </c>
      <c r="F18" s="12">
        <f>급여산출기초1!F19</f>
        <v>29433600</v>
      </c>
      <c r="G18" s="12">
        <f>급여산출기초1!G19</f>
        <v>2943360</v>
      </c>
      <c r="H18" s="12">
        <f>급여산출기초1!J19</f>
        <v>0</v>
      </c>
      <c r="I18" s="51">
        <f>급여산출기초1!I19</f>
        <v>6337370</v>
      </c>
      <c r="J18" s="51">
        <f>SUM(G18:I18)</f>
        <v>9280730</v>
      </c>
      <c r="K18" s="51">
        <f>F18+J18</f>
        <v>38714330</v>
      </c>
      <c r="L18" s="51">
        <f>사회보험!M20+사회보험!N20+사회보험!O20+사회보험!P20+사회보험!Q20</f>
        <v>4325490</v>
      </c>
      <c r="M18" s="51">
        <f>K18-L18</f>
        <v>34388840</v>
      </c>
    </row>
    <row r="19" spans="1:13" ht="30" customHeight="1" x14ac:dyDescent="0.3">
      <c r="A19" s="10">
        <v>15</v>
      </c>
      <c r="B19" s="10" t="s">
        <v>157</v>
      </c>
      <c r="C19" s="10" t="s">
        <v>185</v>
      </c>
      <c r="D19" s="11">
        <f>급여산출기초1!D20</f>
        <v>4</v>
      </c>
      <c r="E19" s="12">
        <f>급여산출기초1!E20</f>
        <v>2224800</v>
      </c>
      <c r="F19" s="12">
        <f>급여산출기초1!F20</f>
        <v>26697600</v>
      </c>
      <c r="G19" s="12">
        <f>급여산출기초1!G20</f>
        <v>2669760</v>
      </c>
      <c r="H19" s="12">
        <f>급여산출기초1!J20</f>
        <v>720000</v>
      </c>
      <c r="I19" s="51">
        <f>급여산출기초1!I20</f>
        <v>5748280</v>
      </c>
      <c r="J19" s="51">
        <f>SUM(G19:I19)</f>
        <v>9138040</v>
      </c>
      <c r="K19" s="51">
        <f>F19+J19</f>
        <v>35835640</v>
      </c>
      <c r="L19" s="51">
        <f>사회보험!M21+사회보험!N21+사회보험!O21+사회보험!P21+사회보험!Q21</f>
        <v>4003860</v>
      </c>
      <c r="M19" s="51">
        <f>K19-L19</f>
        <v>31831780</v>
      </c>
    </row>
    <row r="20" spans="1:13" x14ac:dyDescent="0.3">
      <c r="G20" s="66"/>
      <c r="H20" s="66"/>
      <c r="I20" s="66"/>
      <c r="J20" s="66"/>
      <c r="K20" s="66"/>
      <c r="L20" s="66"/>
      <c r="M20" s="66"/>
    </row>
    <row r="21" spans="1:13" x14ac:dyDescent="0.3">
      <c r="G21" s="66"/>
      <c r="H21" s="66"/>
      <c r="I21" s="66"/>
      <c r="J21" s="66"/>
      <c r="K21" s="66"/>
      <c r="L21" s="66"/>
      <c r="M21" s="66"/>
    </row>
    <row r="22" spans="1:13" x14ac:dyDescent="0.3">
      <c r="G22" s="66"/>
      <c r="H22" s="66"/>
      <c r="I22" s="66"/>
      <c r="J22" s="66"/>
      <c r="K22" s="66"/>
      <c r="L22" s="66"/>
      <c r="M22" s="66"/>
    </row>
    <row r="23" spans="1:13" x14ac:dyDescent="0.3">
      <c r="G23" s="66"/>
      <c r="H23" s="66"/>
      <c r="I23" s="66"/>
      <c r="J23" s="66"/>
      <c r="K23" s="66"/>
      <c r="L23" s="66"/>
      <c r="M23" s="66"/>
    </row>
    <row r="24" spans="1:13" x14ac:dyDescent="0.3">
      <c r="G24" s="66"/>
      <c r="H24" s="66"/>
      <c r="I24" s="66"/>
      <c r="J24" s="66"/>
      <c r="K24" s="66"/>
      <c r="L24" s="66"/>
      <c r="M24" s="66"/>
    </row>
    <row r="25" spans="1:13" x14ac:dyDescent="0.3">
      <c r="G25" s="66"/>
      <c r="H25" s="66"/>
      <c r="I25" s="66"/>
      <c r="J25" s="66"/>
      <c r="K25" s="66"/>
      <c r="L25" s="66"/>
      <c r="M25" s="66"/>
    </row>
    <row r="26" spans="1:13" x14ac:dyDescent="0.3">
      <c r="G26" s="66"/>
      <c r="H26" s="66"/>
      <c r="I26" s="66"/>
      <c r="J26" s="66"/>
      <c r="K26" s="66"/>
      <c r="L26" s="66"/>
      <c r="M26" s="66"/>
    </row>
    <row r="27" spans="1:13" x14ac:dyDescent="0.3">
      <c r="G27" s="66"/>
      <c r="H27" s="66"/>
      <c r="I27" s="66"/>
      <c r="J27" s="66"/>
      <c r="K27" s="66"/>
      <c r="L27" s="66"/>
      <c r="M27" s="66"/>
    </row>
    <row r="28" spans="1:13" x14ac:dyDescent="0.3">
      <c r="G28" s="66"/>
      <c r="H28" s="66"/>
      <c r="I28" s="66"/>
      <c r="J28" s="66"/>
      <c r="K28" s="66"/>
      <c r="L28" s="66"/>
      <c r="M28" s="66"/>
    </row>
    <row r="29" spans="1:13" x14ac:dyDescent="0.3">
      <c r="G29" s="66"/>
      <c r="H29" s="66"/>
      <c r="I29" s="66"/>
      <c r="J29" s="66"/>
      <c r="K29" s="66"/>
      <c r="L29" s="66"/>
      <c r="M29" s="66"/>
    </row>
    <row r="30" spans="1:13" x14ac:dyDescent="0.3">
      <c r="G30" s="66"/>
      <c r="H30" s="66"/>
      <c r="I30" s="66"/>
      <c r="J30" s="66"/>
      <c r="K30" s="66"/>
      <c r="L30" s="66"/>
      <c r="M30" s="66"/>
    </row>
    <row r="31" spans="1:13" x14ac:dyDescent="0.3">
      <c r="G31" s="66"/>
      <c r="H31" s="66"/>
      <c r="I31" s="66"/>
      <c r="J31" s="66"/>
      <c r="K31" s="66"/>
      <c r="L31" s="66"/>
      <c r="M31" s="66"/>
    </row>
  </sheetData>
  <mergeCells count="3">
    <mergeCell ref="A4:D4"/>
    <mergeCell ref="A2:B2"/>
    <mergeCell ref="A1:M1"/>
  </mergeCells>
  <phoneticPr fontId="19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U12"/>
  <sheetViews>
    <sheetView zoomScaleNormal="100" zoomScaleSheetLayoutView="75" workbookViewId="0">
      <selection activeCell="E10" sqref="E10"/>
    </sheetView>
  </sheetViews>
  <sheetFormatPr defaultColWidth="9" defaultRowHeight="13.5" x14ac:dyDescent="0.3"/>
  <cols>
    <col min="1" max="1" width="17.875" style="19" customWidth="1"/>
    <col min="2" max="2" width="17.75" style="20" customWidth="1"/>
    <col min="3" max="3" width="15" style="20" customWidth="1"/>
    <col min="4" max="4" width="10" style="19" customWidth="1"/>
    <col min="5" max="5" width="5.25" style="19" bestFit="1" customWidth="1"/>
    <col min="6" max="6" width="19.375" style="19" customWidth="1"/>
    <col min="7" max="7" width="27.25" style="19" customWidth="1"/>
    <col min="8" max="8" width="11.75" style="19" customWidth="1"/>
    <col min="9" max="255" width="10" style="19" customWidth="1"/>
    <col min="256" max="16384" width="9" style="14"/>
  </cols>
  <sheetData>
    <row r="1" spans="1:8" ht="29.25" customHeight="1" x14ac:dyDescent="0.3">
      <c r="A1" s="286" t="s">
        <v>197</v>
      </c>
      <c r="B1" s="286"/>
      <c r="C1" s="286"/>
      <c r="D1" s="286"/>
      <c r="E1" s="286"/>
      <c r="F1" s="286"/>
      <c r="G1" s="286"/>
      <c r="H1" s="286"/>
    </row>
    <row r="2" spans="1:8" ht="27.75" customHeight="1" x14ac:dyDescent="0.3">
      <c r="A2" s="37" t="s">
        <v>82</v>
      </c>
      <c r="B2" s="14"/>
      <c r="C2" s="34"/>
      <c r="D2" s="36"/>
      <c r="E2" s="35"/>
      <c r="F2" s="34"/>
      <c r="G2" s="33"/>
      <c r="H2" s="32" t="s">
        <v>48</v>
      </c>
    </row>
    <row r="3" spans="1:8" ht="27" customHeight="1" x14ac:dyDescent="0.3">
      <c r="A3" s="293" t="s">
        <v>176</v>
      </c>
      <c r="B3" s="293"/>
      <c r="C3" s="29" t="s">
        <v>150</v>
      </c>
      <c r="D3" s="31" t="s">
        <v>64</v>
      </c>
      <c r="E3" s="30" t="s">
        <v>33</v>
      </c>
      <c r="F3" s="29" t="s">
        <v>138</v>
      </c>
      <c r="G3" s="28" t="s">
        <v>63</v>
      </c>
      <c r="H3" s="28" t="s">
        <v>139</v>
      </c>
    </row>
    <row r="4" spans="1:8" ht="53.25" customHeight="1" x14ac:dyDescent="0.3">
      <c r="A4" s="294" t="s">
        <v>177</v>
      </c>
      <c r="B4" s="26" t="s">
        <v>80</v>
      </c>
      <c r="C4" s="126">
        <v>292940</v>
      </c>
      <c r="D4" s="101" t="s">
        <v>137</v>
      </c>
      <c r="E4" s="102">
        <v>28</v>
      </c>
      <c r="F4" s="172">
        <f>C4*E4*12-6000000</f>
        <v>92427840</v>
      </c>
      <c r="G4" s="27" t="s">
        <v>257</v>
      </c>
      <c r="H4" s="291"/>
    </row>
    <row r="5" spans="1:8" ht="48.75" customHeight="1" x14ac:dyDescent="0.3">
      <c r="A5" s="295"/>
      <c r="B5" s="26" t="s">
        <v>128</v>
      </c>
      <c r="C5" s="171">
        <v>60268</v>
      </c>
      <c r="D5" s="101" t="s">
        <v>137</v>
      </c>
      <c r="E5" s="102">
        <v>28</v>
      </c>
      <c r="F5" s="172">
        <f>C5*E5*12+80</f>
        <v>20250128</v>
      </c>
      <c r="G5" s="127" t="s">
        <v>258</v>
      </c>
      <c r="H5" s="292"/>
    </row>
    <row r="6" spans="1:8" ht="27" customHeight="1" x14ac:dyDescent="0.3">
      <c r="A6" s="295"/>
      <c r="B6" s="26" t="s">
        <v>74</v>
      </c>
      <c r="C6" s="126">
        <v>3360</v>
      </c>
      <c r="D6" s="101" t="s">
        <v>137</v>
      </c>
      <c r="E6" s="102">
        <v>28</v>
      </c>
      <c r="F6" s="103">
        <f t="shared" ref="F6" si="0">C6*E6*12</f>
        <v>1128960</v>
      </c>
      <c r="G6" s="27" t="s">
        <v>259</v>
      </c>
      <c r="H6" s="292"/>
    </row>
    <row r="7" spans="1:8" ht="27" customHeight="1" x14ac:dyDescent="0.3">
      <c r="A7" s="289" t="s">
        <v>169</v>
      </c>
      <c r="B7" s="289"/>
      <c r="C7" s="173">
        <f>SUM(C4:C6)</f>
        <v>356568</v>
      </c>
      <c r="D7" s="104" t="s">
        <v>137</v>
      </c>
      <c r="E7" s="105"/>
      <c r="F7" s="175">
        <f>SUM(F4:F6)</f>
        <v>113806928</v>
      </c>
      <c r="G7" s="43"/>
      <c r="H7" s="292"/>
    </row>
    <row r="8" spans="1:8" ht="25.5" customHeight="1" x14ac:dyDescent="0.3">
      <c r="A8" s="287" t="s">
        <v>70</v>
      </c>
      <c r="B8" s="287"/>
      <c r="C8" s="109">
        <v>40000</v>
      </c>
      <c r="D8" s="107" t="s">
        <v>143</v>
      </c>
      <c r="E8" s="119">
        <v>28</v>
      </c>
      <c r="F8" s="120">
        <f>C8*E8*1</f>
        <v>1120000</v>
      </c>
      <c r="G8" s="64" t="s">
        <v>262</v>
      </c>
      <c r="H8" s="25"/>
    </row>
    <row r="9" spans="1:8" ht="25.5" customHeight="1" x14ac:dyDescent="0.3">
      <c r="A9" s="288" t="s">
        <v>108</v>
      </c>
      <c r="B9" s="288"/>
      <c r="C9" s="109">
        <v>50000</v>
      </c>
      <c r="D9" s="107"/>
      <c r="E9" s="121"/>
      <c r="F9" s="120"/>
      <c r="G9" s="100" t="s">
        <v>202</v>
      </c>
      <c r="H9" s="115"/>
    </row>
    <row r="10" spans="1:8" ht="26.25" customHeight="1" x14ac:dyDescent="0.3">
      <c r="A10" s="289" t="s">
        <v>169</v>
      </c>
      <c r="B10" s="289"/>
      <c r="C10" s="108"/>
      <c r="D10" s="104"/>
      <c r="E10" s="105"/>
      <c r="F10" s="106">
        <f>SUM(F8:F9)</f>
        <v>1120000</v>
      </c>
      <c r="G10" s="24"/>
      <c r="H10" s="23"/>
    </row>
    <row r="11" spans="1:8" ht="26.25" customHeight="1" x14ac:dyDescent="0.15">
      <c r="A11" s="290" t="s">
        <v>79</v>
      </c>
      <c r="B11" s="290"/>
      <c r="C11" s="290"/>
      <c r="D11" s="290"/>
      <c r="E11" s="290"/>
      <c r="F11" s="174">
        <f>F7+F10</f>
        <v>114926928</v>
      </c>
      <c r="G11" s="22"/>
      <c r="H11" s="21"/>
    </row>
    <row r="12" spans="1:8" ht="30" customHeight="1" x14ac:dyDescent="0.3">
      <c r="A12" s="285" t="s">
        <v>210</v>
      </c>
      <c r="B12" s="285"/>
      <c r="C12" s="285"/>
      <c r="D12" s="285"/>
      <c r="E12" s="285"/>
      <c r="F12" s="285"/>
      <c r="G12" s="285"/>
      <c r="H12" s="285"/>
    </row>
  </sheetData>
  <mergeCells count="10">
    <mergeCell ref="A12:H12"/>
    <mergeCell ref="A1:H1"/>
    <mergeCell ref="A8:B8"/>
    <mergeCell ref="A9:B9"/>
    <mergeCell ref="A10:B10"/>
    <mergeCell ref="A11:E11"/>
    <mergeCell ref="H4:H7"/>
    <mergeCell ref="A3:B3"/>
    <mergeCell ref="A7:B7"/>
    <mergeCell ref="A4:A6"/>
  </mergeCells>
  <phoneticPr fontId="19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G25"/>
  <sheetViews>
    <sheetView zoomScaleNormal="100" zoomScaleSheetLayoutView="75" workbookViewId="0">
      <selection activeCell="D28" sqref="D28"/>
    </sheetView>
  </sheetViews>
  <sheetFormatPr defaultColWidth="8.875" defaultRowHeight="16.5" x14ac:dyDescent="0.3"/>
  <cols>
    <col min="1" max="1" width="24.25" style="19" customWidth="1"/>
    <col min="2" max="2" width="31.375" style="38" customWidth="1"/>
    <col min="3" max="3" width="19.625" style="19" customWidth="1"/>
    <col min="4" max="4" width="53.125" style="19" customWidth="1"/>
    <col min="5" max="5" width="10" style="19" customWidth="1"/>
    <col min="6" max="16127" width="9" style="14"/>
  </cols>
  <sheetData>
    <row r="1" spans="1:5" ht="27.75" customHeight="1" x14ac:dyDescent="0.3">
      <c r="A1" s="296" t="s">
        <v>198</v>
      </c>
      <c r="B1" s="296"/>
      <c r="C1" s="296"/>
      <c r="D1" s="296"/>
      <c r="E1" s="296"/>
    </row>
    <row r="2" spans="1:5" ht="22.5" customHeight="1" x14ac:dyDescent="0.25">
      <c r="A2" s="17" t="s">
        <v>82</v>
      </c>
      <c r="B2" s="16"/>
      <c r="C2" s="15"/>
      <c r="D2" s="15"/>
      <c r="E2" s="39" t="s">
        <v>48</v>
      </c>
    </row>
    <row r="3" spans="1:5" ht="19.5" customHeight="1" x14ac:dyDescent="0.3">
      <c r="A3" s="176" t="s">
        <v>176</v>
      </c>
      <c r="B3" s="31" t="s">
        <v>62</v>
      </c>
      <c r="C3" s="176" t="s">
        <v>138</v>
      </c>
      <c r="D3" s="177" t="s">
        <v>63</v>
      </c>
      <c r="E3" s="176" t="s">
        <v>139</v>
      </c>
    </row>
    <row r="4" spans="1:5" ht="19.5" customHeight="1" x14ac:dyDescent="0.3">
      <c r="A4" s="178" t="s">
        <v>186</v>
      </c>
      <c r="B4" s="179" t="s">
        <v>211</v>
      </c>
      <c r="C4" s="180">
        <f>28*158000*12</f>
        <v>53088000</v>
      </c>
      <c r="D4" s="181" t="s">
        <v>212</v>
      </c>
      <c r="E4" s="182" t="s">
        <v>213</v>
      </c>
    </row>
    <row r="5" spans="1:5" ht="19.5" customHeight="1" x14ac:dyDescent="0.3">
      <c r="A5" s="178" t="s">
        <v>86</v>
      </c>
      <c r="B5" s="183" t="s">
        <v>214</v>
      </c>
      <c r="C5" s="180">
        <f>720000*12</f>
        <v>8640000</v>
      </c>
      <c r="D5" s="184" t="s">
        <v>215</v>
      </c>
      <c r="E5" s="185"/>
    </row>
    <row r="6" spans="1:5" ht="19.5" customHeight="1" x14ac:dyDescent="0.3">
      <c r="A6" s="178" t="s">
        <v>106</v>
      </c>
      <c r="B6" s="107" t="s">
        <v>216</v>
      </c>
      <c r="C6" s="186">
        <f>28*14270*1</f>
        <v>399560</v>
      </c>
      <c r="D6" s="187" t="s">
        <v>217</v>
      </c>
      <c r="E6" s="185" t="s">
        <v>159</v>
      </c>
    </row>
    <row r="7" spans="1:5" ht="19.5" customHeight="1" x14ac:dyDescent="0.3">
      <c r="A7" s="297" t="s">
        <v>218</v>
      </c>
      <c r="B7" s="297"/>
      <c r="C7" s="207">
        <f>SUM(C4:C6)</f>
        <v>62127560</v>
      </c>
      <c r="D7" s="189"/>
      <c r="E7" s="190"/>
    </row>
    <row r="8" spans="1:5" x14ac:dyDescent="0.3">
      <c r="A8" s="59"/>
      <c r="B8" s="59"/>
      <c r="C8" s="61"/>
      <c r="D8" s="60"/>
      <c r="E8" s="60"/>
    </row>
    <row r="9" spans="1:5" ht="18.75" x14ac:dyDescent="0.3">
      <c r="A9" s="296" t="s">
        <v>219</v>
      </c>
      <c r="B9" s="296"/>
      <c r="C9" s="296"/>
      <c r="D9" s="296"/>
      <c r="E9" s="296"/>
    </row>
    <row r="10" spans="1:5" ht="23.25" customHeight="1" x14ac:dyDescent="0.15">
      <c r="A10" s="17" t="s">
        <v>82</v>
      </c>
      <c r="B10" s="123"/>
      <c r="C10" s="124"/>
      <c r="D10" s="124"/>
      <c r="E10" s="125" t="s">
        <v>48</v>
      </c>
    </row>
    <row r="11" spans="1:5" ht="24" customHeight="1" x14ac:dyDescent="0.3">
      <c r="A11" s="176" t="s">
        <v>176</v>
      </c>
      <c r="B11" s="31" t="s">
        <v>62</v>
      </c>
      <c r="C11" s="176" t="s">
        <v>138</v>
      </c>
      <c r="D11" s="177" t="s">
        <v>63</v>
      </c>
      <c r="E11" s="176" t="s">
        <v>139</v>
      </c>
    </row>
    <row r="12" spans="1:5" ht="90.75" customHeight="1" x14ac:dyDescent="0.3">
      <c r="A12" s="178" t="s">
        <v>220</v>
      </c>
      <c r="B12" s="191" t="s">
        <v>221</v>
      </c>
      <c r="C12" s="180">
        <v>15194000</v>
      </c>
      <c r="D12" s="192" t="s">
        <v>270</v>
      </c>
      <c r="E12" s="193"/>
    </row>
    <row r="13" spans="1:5" ht="21" customHeight="1" x14ac:dyDescent="0.3">
      <c r="A13" s="178" t="s">
        <v>36</v>
      </c>
      <c r="B13" s="107" t="s">
        <v>89</v>
      </c>
      <c r="C13" s="194">
        <f>9*30000</f>
        <v>270000</v>
      </c>
      <c r="D13" s="195" t="s">
        <v>222</v>
      </c>
      <c r="E13" s="196" t="s">
        <v>223</v>
      </c>
    </row>
    <row r="14" spans="1:5" ht="43.5" customHeight="1" x14ac:dyDescent="0.3">
      <c r="A14" s="178" t="s">
        <v>123</v>
      </c>
      <c r="B14" s="107" t="s">
        <v>103</v>
      </c>
      <c r="C14" s="194">
        <f>(11*48000*2)+(6*48000*10)</f>
        <v>3936000</v>
      </c>
      <c r="D14" s="192" t="s">
        <v>269</v>
      </c>
      <c r="E14" s="196" t="s">
        <v>224</v>
      </c>
    </row>
    <row r="15" spans="1:5" ht="21.75" customHeight="1" x14ac:dyDescent="0.3">
      <c r="A15" s="178" t="s">
        <v>27</v>
      </c>
      <c r="B15" s="107" t="s">
        <v>117</v>
      </c>
      <c r="C15" s="186"/>
      <c r="D15" s="197" t="s">
        <v>100</v>
      </c>
      <c r="E15" s="196"/>
    </row>
    <row r="16" spans="1:5" ht="52.5" customHeight="1" x14ac:dyDescent="0.3">
      <c r="A16" s="178" t="s">
        <v>225</v>
      </c>
      <c r="B16" s="191" t="s">
        <v>226</v>
      </c>
      <c r="C16" s="194">
        <f>480000+300000+160000</f>
        <v>940000</v>
      </c>
      <c r="D16" s="198" t="s">
        <v>227</v>
      </c>
      <c r="E16" s="193" t="s">
        <v>271</v>
      </c>
    </row>
    <row r="17" spans="1:5" ht="51" customHeight="1" x14ac:dyDescent="0.3">
      <c r="A17" s="178" t="s">
        <v>56</v>
      </c>
      <c r="B17" s="107" t="s">
        <v>143</v>
      </c>
      <c r="C17" s="194">
        <v>1010000</v>
      </c>
      <c r="D17" s="198" t="s">
        <v>228</v>
      </c>
      <c r="E17" s="199"/>
    </row>
    <row r="18" spans="1:5" ht="21" customHeight="1" x14ac:dyDescent="0.3">
      <c r="A18" s="200" t="s">
        <v>229</v>
      </c>
      <c r="B18" s="201" t="s">
        <v>230</v>
      </c>
      <c r="C18" s="180">
        <f>23000*6</f>
        <v>138000</v>
      </c>
      <c r="D18" s="202" t="s">
        <v>231</v>
      </c>
      <c r="E18" s="193"/>
    </row>
    <row r="19" spans="1:5" ht="21" customHeight="1" x14ac:dyDescent="0.3">
      <c r="A19" s="200" t="s">
        <v>232</v>
      </c>
      <c r="B19" s="201" t="s">
        <v>233</v>
      </c>
      <c r="C19" s="180">
        <v>600000</v>
      </c>
      <c r="D19" s="198" t="s">
        <v>234</v>
      </c>
      <c r="E19" s="193"/>
    </row>
    <row r="20" spans="1:5" ht="21" customHeight="1" x14ac:dyDescent="0.3">
      <c r="A20" s="178" t="s">
        <v>34</v>
      </c>
      <c r="B20" s="107" t="s">
        <v>99</v>
      </c>
      <c r="C20" s="194"/>
      <c r="D20" s="184" t="s">
        <v>101</v>
      </c>
      <c r="E20" s="196"/>
    </row>
    <row r="21" spans="1:5" ht="21" customHeight="1" x14ac:dyDescent="0.3">
      <c r="A21" s="178" t="s">
        <v>69</v>
      </c>
      <c r="B21" s="107" t="s">
        <v>102</v>
      </c>
      <c r="C21" s="186">
        <v>2000000</v>
      </c>
      <c r="D21" s="184" t="s">
        <v>260</v>
      </c>
      <c r="E21" s="199"/>
    </row>
    <row r="22" spans="1:5" ht="21" customHeight="1" x14ac:dyDescent="0.3">
      <c r="A22" s="178" t="s">
        <v>91</v>
      </c>
      <c r="B22" s="183" t="s">
        <v>235</v>
      </c>
      <c r="C22" s="180">
        <f>15*120000</f>
        <v>1800000</v>
      </c>
      <c r="D22" s="203" t="s">
        <v>236</v>
      </c>
      <c r="E22" s="196" t="s">
        <v>237</v>
      </c>
    </row>
    <row r="23" spans="1:5" ht="21" customHeight="1" x14ac:dyDescent="0.3">
      <c r="A23" s="200" t="s">
        <v>256</v>
      </c>
      <c r="B23" s="183" t="s">
        <v>238</v>
      </c>
      <c r="C23" s="180">
        <f>2*250000*12</f>
        <v>6000000</v>
      </c>
      <c r="D23" s="203" t="s">
        <v>239</v>
      </c>
      <c r="E23" s="204" t="s">
        <v>240</v>
      </c>
    </row>
    <row r="24" spans="1:5" ht="21" customHeight="1" x14ac:dyDescent="0.3">
      <c r="A24" s="298" t="s">
        <v>148</v>
      </c>
      <c r="B24" s="298"/>
      <c r="C24" s="188">
        <f>SUM(C12:C23)</f>
        <v>31888000</v>
      </c>
      <c r="D24" s="184"/>
      <c r="E24" s="196"/>
    </row>
    <row r="25" spans="1:5" ht="21" customHeight="1" x14ac:dyDescent="0.3">
      <c r="A25" s="299" t="s">
        <v>141</v>
      </c>
      <c r="B25" s="299"/>
      <c r="C25" s="208">
        <f>C7+C24</f>
        <v>94015560</v>
      </c>
      <c r="D25" s="205"/>
      <c r="E25" s="206"/>
    </row>
  </sheetData>
  <mergeCells count="5">
    <mergeCell ref="A1:E1"/>
    <mergeCell ref="A7:B7"/>
    <mergeCell ref="A9:E9"/>
    <mergeCell ref="A24:B24"/>
    <mergeCell ref="A25:B25"/>
  </mergeCells>
  <phoneticPr fontId="19" type="noConversion"/>
  <printOptions horizontalCentered="1" verticalCentered="1"/>
  <pageMargins left="0.70805555582046509" right="0.70805555582046509" top="0.74750000238418579" bottom="0.74750000238418579" header="0.31402778625488281" footer="0.31402778625488281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생계비</vt:lpstr>
      <vt:lpstr>운영비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i</cp:lastModifiedBy>
  <cp:revision>161</cp:revision>
  <cp:lastPrinted>2025-03-17T05:12:39Z</cp:lastPrinted>
  <dcterms:created xsi:type="dcterms:W3CDTF">2013-12-12T01:03:00Z</dcterms:created>
  <dcterms:modified xsi:type="dcterms:W3CDTF">2025-03-26T07:15:51Z</dcterms:modified>
  <cp:version>1200.0100.01</cp:version>
</cp:coreProperties>
</file>